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go_4rxkphw\Desktop\MILM\13. ESTUDIOS PREVIOS DE TUNEL 19\1. Actualización GPT 2020\2. AIU\"/>
    </mc:Choice>
  </mc:AlternateContent>
  <bookViews>
    <workbookView xWindow="-120" yWindow="-120" windowWidth="24240" windowHeight="13140" activeTab="1"/>
  </bookViews>
  <sheets>
    <sheet name="PGIO" sheetId="3" r:id="rId1"/>
    <sheet name="AIU" sheetId="2" r:id="rId2"/>
  </sheets>
  <externalReferences>
    <externalReference r:id="rId3"/>
  </externalReferences>
  <definedNames>
    <definedName name="_xlnm.Print_Area" localSheetId="1">AIU!$A$1:$K$78</definedName>
    <definedName name="_xlnm.Print_Area" localSheetId="0">PGIO!$A$1:$H$22</definedName>
    <definedName name="solver_adj" localSheetId="1" hidden="1">AIU!$F$43</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AIU!$J$67</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0.27</definedName>
    <definedName name="solver_ver" localSheetId="1" hidden="1">3</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8" i="2" l="1"/>
  <c r="D5" i="2"/>
  <c r="G9" i="3" l="1"/>
  <c r="G10" i="3"/>
  <c r="G11" i="3"/>
  <c r="G12" i="3"/>
  <c r="G8" i="3"/>
  <c r="H18" i="3"/>
  <c r="G17" i="3"/>
  <c r="H17" i="3" s="1"/>
  <c r="H16" i="3"/>
  <c r="H15" i="3"/>
  <c r="F12" i="3"/>
  <c r="H12" i="3" s="1"/>
  <c r="F11" i="3"/>
  <c r="H11" i="3" s="1"/>
  <c r="F10" i="3"/>
  <c r="F9" i="3"/>
  <c r="H9" i="3" s="1"/>
  <c r="F8" i="3"/>
  <c r="H8" i="3" s="1"/>
  <c r="H10" i="3" l="1"/>
  <c r="H20" i="3"/>
  <c r="F39" i="2" s="1"/>
  <c r="J44" i="2" l="1"/>
  <c r="J39" i="2"/>
  <c r="J40" i="2" s="1"/>
  <c r="K40" i="2" s="1"/>
  <c r="H5" i="2" l="1"/>
  <c r="H31" i="2" l="1"/>
  <c r="H34" i="2" s="1"/>
  <c r="J33" i="2" l="1"/>
  <c r="J32" i="2"/>
  <c r="J31" i="2"/>
  <c r="J34" i="2" l="1"/>
  <c r="J35" i="2" s="1"/>
  <c r="K35" i="2" s="1"/>
  <c r="I6" i="2" l="1"/>
  <c r="I5" i="2"/>
  <c r="J58" i="2" l="1"/>
  <c r="J57" i="2"/>
  <c r="H14" i="2" l="1"/>
  <c r="J14" i="2" s="1"/>
  <c r="J54" i="2" l="1"/>
  <c r="I7" i="2"/>
  <c r="D64" i="2" s="1"/>
  <c r="J64" i="2" s="1"/>
  <c r="J56" i="2"/>
  <c r="J55" i="2"/>
  <c r="H23" i="2"/>
  <c r="J23" i="2" s="1"/>
  <c r="H22" i="2"/>
  <c r="J22" i="2" s="1"/>
  <c r="H20" i="2"/>
  <c r="H16" i="2"/>
  <c r="J16" i="2" s="1"/>
  <c r="H15" i="2"/>
  <c r="J15" i="2" s="1"/>
  <c r="H48" i="2"/>
  <c r="H43" i="2"/>
  <c r="J43" i="2" s="1"/>
  <c r="J45" i="2" s="1"/>
  <c r="K45" i="2" s="1"/>
  <c r="H25" i="2"/>
  <c r="J25" i="2" s="1"/>
  <c r="H24" i="2"/>
  <c r="J24" i="2" s="1"/>
  <c r="H19" i="2"/>
  <c r="J19" i="2" s="1"/>
  <c r="H18" i="2"/>
  <c r="J18" i="2" s="1"/>
  <c r="H13" i="2"/>
  <c r="J13" i="2" s="1"/>
  <c r="H12" i="2"/>
  <c r="J12" i="2" s="1"/>
  <c r="J59" i="2" l="1"/>
  <c r="K59" i="2" s="1"/>
  <c r="J65" i="2"/>
  <c r="K65" i="2" s="1"/>
  <c r="J20" i="2"/>
  <c r="J26" i="2" s="1"/>
  <c r="J48" i="2"/>
  <c r="J49" i="2" s="1"/>
  <c r="K26" i="2" l="1"/>
  <c r="K49" i="2"/>
  <c r="J67" i="2" l="1"/>
  <c r="J71" i="2" s="1"/>
  <c r="I73" i="2"/>
  <c r="J74" i="2" s="1"/>
</calcChain>
</file>

<file path=xl/comments1.xml><?xml version="1.0" encoding="utf-8"?>
<comments xmlns="http://schemas.openxmlformats.org/spreadsheetml/2006/main">
  <authors>
    <author>Carolina Guerrero Leal</author>
  </authors>
  <commentList>
    <comment ref="H34" authorId="0" shapeId="0">
      <text>
        <r>
          <rPr>
            <b/>
            <sz val="9"/>
            <color indexed="81"/>
            <rFont val="Tahoma"/>
            <family val="2"/>
          </rPr>
          <t>Se asume que 2personas dedican 1 horas para realizar el aseo 6 dias a la semana</t>
        </r>
        <r>
          <rPr>
            <sz val="9"/>
            <color indexed="81"/>
            <rFont val="Tahoma"/>
            <family val="2"/>
          </rPr>
          <t xml:space="preserve">
</t>
        </r>
      </text>
    </comment>
  </commentList>
</comments>
</file>

<file path=xl/sharedStrings.xml><?xml version="1.0" encoding="utf-8"?>
<sst xmlns="http://schemas.openxmlformats.org/spreadsheetml/2006/main" count="146" uniqueCount="124">
  <si>
    <t>EMPRESAS PUBLICAS DE ARMENIA</t>
  </si>
  <si>
    <t>MATRIZ PARA EL CÁLCULO DEL FACTOR DE A.I.U.</t>
  </si>
  <si>
    <t>COSTO DIRECTO ESTIMADO DE OBRA (CD)</t>
  </si>
  <si>
    <t>ANTES DE IVA</t>
  </si>
  <si>
    <t>Término estimado de ejecución de obra (Meses)</t>
  </si>
  <si>
    <t>MESES</t>
  </si>
  <si>
    <t>IVA</t>
  </si>
  <si>
    <t xml:space="preserve"> </t>
  </si>
  <si>
    <t>VR. CONTRATO</t>
  </si>
  <si>
    <t>1. COSTOS MENSUALES DE PERSONAL</t>
  </si>
  <si>
    <t>CANTIDAD</t>
  </si>
  <si>
    <t>CARGO</t>
  </si>
  <si>
    <t>CATEGORÍA</t>
  </si>
  <si>
    <t>DEDICACIÓN</t>
  </si>
  <si>
    <t>TOPE MÁXIMO SALARIO</t>
  </si>
  <si>
    <t>PLAZO CONSTRUCCION</t>
  </si>
  <si>
    <t>FACTOR PRESTACIONAL</t>
  </si>
  <si>
    <t>CANTIDAD DE PERSONAL / SALARIO / PLAZO / DEDICACION / PRESTACIONES</t>
  </si>
  <si>
    <t>PORCENTAJE</t>
  </si>
  <si>
    <t>A</t>
  </si>
  <si>
    <t>B1</t>
  </si>
  <si>
    <t>B2</t>
  </si>
  <si>
    <t>C</t>
  </si>
  <si>
    <t>D2</t>
  </si>
  <si>
    <t>E</t>
  </si>
  <si>
    <t xml:space="preserve">G= B2 * C * D2 * E  </t>
  </si>
  <si>
    <t xml:space="preserve">INGENIERO RESIDENTE </t>
  </si>
  <si>
    <t>1.3 PERSONAL ADMINISTRATIVO</t>
  </si>
  <si>
    <t>VIGILANTE</t>
  </si>
  <si>
    <t>SUBTOTAL COSTOS MENSUALES DE PERSONAL</t>
  </si>
  <si>
    <t>AREA (M2)</t>
  </si>
  <si>
    <t>COSTO POR MES</t>
  </si>
  <si>
    <t>COSTO X M2</t>
  </si>
  <si>
    <t>VALOR ($)</t>
  </si>
  <si>
    <t>GASTOS DE OFICINA</t>
  </si>
  <si>
    <t>ENSAYOS DE LABORATORIO</t>
  </si>
  <si>
    <t>SUBTOTAL GASTOS OPERACIONALES MENSUALES</t>
  </si>
  <si>
    <t>No. Entregas EPP´S</t>
  </si>
  <si>
    <t xml:space="preserve">ELEMENTOS DE SEGURIDAD DEL PERSONAL EN OBRA </t>
  </si>
  <si>
    <t>TOTAL COSTOS PERSONAL + GASTOS OPERACIONALES POR EL TÉRMINO DE EJECUCIÓN</t>
  </si>
  <si>
    <t>DESCRIPCIÓN</t>
  </si>
  <si>
    <t>ESTAMPILLA BIENESTAR DEL ADULTO MAYOR</t>
  </si>
  <si>
    <t>ESTAMPILLA PRO-CULTURA</t>
  </si>
  <si>
    <t>ESTAMPILLA PRO-HOSPITAL</t>
  </si>
  <si>
    <t>CONTRIBUCIÓN ESPECIAL (IMPUESTO DE GUERRA)</t>
  </si>
  <si>
    <t>CUATRO POR MIL BANCARIO</t>
  </si>
  <si>
    <t>SUBTOTAL IMPUESTOS</t>
  </si>
  <si>
    <t>VR BASE</t>
  </si>
  <si>
    <t>FACTOR</t>
  </si>
  <si>
    <t>POLIZAS Y GARANTIAS</t>
  </si>
  <si>
    <t>TOTAL IMPUESTOS Y GARANTÍAS</t>
  </si>
  <si>
    <t>A. ADMINISTRACIÓN (1 + 2 + 3+4)</t>
  </si>
  <si>
    <t xml:space="preserve">I. IMPREVISTOS </t>
  </si>
  <si>
    <t>U. UTILIDAD</t>
  </si>
  <si>
    <t>A.I.U. (ADMINISTRACIÓN, IMPREVISTOS Y UTILIDAD)</t>
  </si>
  <si>
    <t>Revisó:</t>
  </si>
  <si>
    <t>Empresas Públicas de Armenia EPA E.S.P.</t>
  </si>
  <si>
    <t>ESPECIALISTA EN GEOTECNIA</t>
  </si>
  <si>
    <t>ALMACENISTA</t>
  </si>
  <si>
    <t>MAESTRO DE OBRA</t>
  </si>
  <si>
    <t>INSPECTOR DE OBRA</t>
  </si>
  <si>
    <t>TÉCNICO ELECTRICISTA</t>
  </si>
  <si>
    <t>CONTADOR</t>
  </si>
  <si>
    <t>AUXILIAR ADMINISTRATIVA</t>
  </si>
  <si>
    <t xml:space="preserve">Actualizó: </t>
  </si>
  <si>
    <t>Juan Camilo Toro Alzate - Ing Contratista</t>
  </si>
  <si>
    <t>Julian David Ospina Londoño - Gestor GPT</t>
  </si>
  <si>
    <t>Aprobó:</t>
  </si>
  <si>
    <t>Fecha:</t>
  </si>
  <si>
    <t>2. COSTOS VARIOS</t>
  </si>
  <si>
    <t xml:space="preserve">Descripcion </t>
  </si>
  <si>
    <t>Cantidad</t>
  </si>
  <si>
    <t>Unidad</t>
  </si>
  <si>
    <t>Repeticion</t>
  </si>
  <si>
    <t>Valor Uinitario</t>
  </si>
  <si>
    <t>Valor Parcial</t>
  </si>
  <si>
    <t>mes</t>
  </si>
  <si>
    <t>und</t>
  </si>
  <si>
    <t>Dia</t>
  </si>
  <si>
    <t>hora</t>
  </si>
  <si>
    <t>SUBTOTAL COSTOS VARIOS</t>
  </si>
  <si>
    <t>SUMINISTRO E INSTALACION DE VALLA INFORMATIVA</t>
  </si>
  <si>
    <t>PLANO RECORD Y FORMATOS DE ESQUINA</t>
  </si>
  <si>
    <t>1.1 PERSONAL PROFESIONAL, ESPECIALISTA Y TECNICO EN CONSTRUCCIÓN</t>
  </si>
  <si>
    <t>1.2 PERSONAL TÉCNICO Y PERSONAL AUXILIAR TÉCNICO SOCIAL, AMBIENTAL Y SISO</t>
  </si>
  <si>
    <t>3. GASTOS OPERACIONALES MENSUALES</t>
  </si>
  <si>
    <t>ENSAYOS / PLANES (%CD)</t>
  </si>
  <si>
    <t>TECNÓLOGO EN SEGURIDAD INDUSTRIAL Y SALUD OCUPACIONAL</t>
  </si>
  <si>
    <t>TECNÓLOGO AMBIENTAL</t>
  </si>
  <si>
    <t>Isabel Cristina Oritz Cortes  - Subgerente Técnico</t>
  </si>
  <si>
    <t>ASEO GENERAL  (cuadrilla 0:0:2)</t>
  </si>
  <si>
    <t xml:space="preserve">2.1 GASTOS GENERALES DE ADMINISTRACIÓN </t>
  </si>
  <si>
    <t>2.2 PLANES</t>
  </si>
  <si>
    <t>PLAN DE GESTIÓN INTEGRAL DE OBRA (PGIO)</t>
  </si>
  <si>
    <t>COSTO</t>
  </si>
  <si>
    <t>4. OTROS GASTOS</t>
  </si>
  <si>
    <t>5. IMPUESTOS Y GARANTÍAS</t>
  </si>
  <si>
    <t>5.1 IMPUESTOS</t>
  </si>
  <si>
    <t>5.2 GARANTIAS</t>
  </si>
  <si>
    <t xml:space="preserve">DIRECTOR DE OBRA </t>
  </si>
  <si>
    <t xml:space="preserve">Nota: Los elementos de seguridad incluidos en el plan de Gestión integral de obra se deprecian a un año teniendo en cuenta su vida util </t>
  </si>
  <si>
    <t>PGIO</t>
  </si>
  <si>
    <t xml:space="preserve">Descripción </t>
  </si>
  <si>
    <t>unidad</t>
  </si>
  <si>
    <t>cantidad</t>
  </si>
  <si>
    <t>Vr. Unitario</t>
  </si>
  <si>
    <t xml:space="preserve">Vr. Mensual </t>
  </si>
  <si>
    <t>Numero de meses</t>
  </si>
  <si>
    <t xml:space="preserve">Vr. Totoal </t>
  </si>
  <si>
    <t xml:space="preserve">CAMILLA EMERGENCIA POLIETILENO </t>
  </si>
  <si>
    <t>BOTIQUIN PRIMEROS AUXILIOS</t>
  </si>
  <si>
    <t xml:space="preserve">EXTINTOR </t>
  </si>
  <si>
    <t>SEÑAL FOTOLUMINISCENTE PARA OFICINA Y SISO OBRA</t>
  </si>
  <si>
    <t>kit</t>
  </si>
  <si>
    <t xml:space="preserve">CANECA VAIVEN PLASTICA 3 COLORES </t>
  </si>
  <si>
    <t xml:space="preserve">EXAMEN MEDICO LABORAL DE INGRESO </t>
  </si>
  <si>
    <t xml:space="preserve">EXAMEN MEDICO LABORAL DE  EGRESO </t>
  </si>
  <si>
    <t>ALQUILER DE BAÑO PORTATIL</t>
  </si>
  <si>
    <t>FORMULACIÓN PGIO</t>
  </si>
  <si>
    <t>TOTAL</t>
  </si>
  <si>
    <t>BODEGA/CAMPAMENTO (INCLUYE SERVICIOS PUBLICOS)</t>
  </si>
  <si>
    <t>NOTA: El presente analisis de AIU corresponde a una actualización a la vigencia 2020 de los valores del AIU ntregado por la consultoria 004/2017 para la " CONSTRUCCIÓN PARA EL REFORZAMIENTO ESTRUCTURAL DEL TÚNEL 19 DE LA CONDUCCIÓN DE AGUA CRUDA DE EMPRESAS PÚBLICAS DE ARMENIA ESP",se conserva lo más posible la estructura, el personal, los  porcentajes de dicación y los gastos operacionales inicialmente estipulados</t>
  </si>
  <si>
    <t>AIU "CONSTRUCCIÓN PARA EL REFORZAMIENTO ESTRUCTURAL DEL TÚNEL 19 DE LA CONDUCCIÓN DE AGUA CRUDA DE EMPRESAS PÚBLICAS DE ARMENIA ESP"</t>
  </si>
  <si>
    <t xml:space="preserve">ANEXO 1. PRESUPUESTO COSTOS DEL PLAN DE GESTIÓN INTEGRAL DE OBRA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</si>
</sst>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_(&quot;$&quot;\ * #,##0.00_);_(&quot;$&quot;\ * \(#,##0.00\);_(&quot;$&quot;\ * &quot;-&quot;??_);_(@_)"/>
    <numFmt numFmtId="165" formatCode="_(&quot;$&quot;\ * #,##0_);_(&quot;$&quot;\ * \(#,##0\);_(&quot;$&quot;\ * &quot;-&quot;??_);_(@_)"/>
    <numFmt numFmtId="166" formatCode="0.0%"/>
    <numFmt numFmtId="167" formatCode="[$$-240A]#,##0.00;[Red]\([$$-240A]#,##0.00\)"/>
    <numFmt numFmtId="168" formatCode="#,##0.0;[Red]#,##0.0"/>
    <numFmt numFmtId="169" formatCode="#,##0.000"/>
    <numFmt numFmtId="170" formatCode="[$$-240A]#,##0;[Red]\([$$-240A]#,##0\)"/>
    <numFmt numFmtId="171" formatCode="[$$-240A]#,##0.000;[Red]\([$$-240A]#,##0.000\)"/>
    <numFmt numFmtId="172" formatCode="[$$-240A]\ #,##0.00"/>
    <numFmt numFmtId="173" formatCode="#,##0;[Red]#,##0"/>
    <numFmt numFmtId="174" formatCode="#,##0.0_);\(#,##0.0\)"/>
    <numFmt numFmtId="175" formatCode="0.0"/>
    <numFmt numFmtId="176" formatCode="&quot;$&quot;\ #,##0"/>
    <numFmt numFmtId="177" formatCode="[$$-240A]\ #,##0_);\([$$-240A]\ #,##0\)"/>
    <numFmt numFmtId="178" formatCode="[$$-240A]\ #,##0"/>
    <numFmt numFmtId="179" formatCode="0.000000000000000000%"/>
    <numFmt numFmtId="180" formatCode="[$$-240A]\ #,##0.00;[Red][$$-240A]\ #,##0.00"/>
    <numFmt numFmtId="181" formatCode="[$$-240A]\ #,##0.00;[Red]\-[$$-240A]\ #,##0.00"/>
    <numFmt numFmtId="182" formatCode="[$$-240A]\ #,##0.00_);[Red]\([$$-240A]\ #,##0.00\)"/>
    <numFmt numFmtId="183" formatCode="_-&quot;$&quot;* #,##0.00_-;\-&quot;$&quot;* #,##0.00_-;_-&quot;$&quot;* &quot;-&quot;??_-;_-@_-"/>
    <numFmt numFmtId="184" formatCode="_-[$$-240A]\ * #,##0.0_-;\-[$$-240A]\ * #,##0.0_-;_-[$$-240A]\ * &quot;-&quot;??_-;_-@_-"/>
  </numFmts>
  <fonts count="18" x14ac:knownFonts="1">
    <font>
      <sz val="11"/>
      <color theme="1"/>
      <name val="Calibri"/>
      <family val="2"/>
      <scheme val="minor"/>
    </font>
    <font>
      <sz val="11"/>
      <color theme="1"/>
      <name val="Calibri"/>
      <family val="2"/>
      <scheme val="minor"/>
    </font>
    <font>
      <sz val="10"/>
      <color theme="1"/>
      <name val="Arial"/>
      <family val="2"/>
    </font>
    <font>
      <b/>
      <i/>
      <sz val="10"/>
      <name val="Arial"/>
      <family val="2"/>
    </font>
    <font>
      <b/>
      <sz val="10"/>
      <name val="Arial"/>
      <family val="2"/>
    </font>
    <font>
      <sz val="10"/>
      <name val="Arial"/>
      <family val="2"/>
    </font>
    <font>
      <sz val="11"/>
      <color indexed="8"/>
      <name val="Calibri"/>
      <family val="2"/>
    </font>
    <font>
      <sz val="10"/>
      <color indexed="8"/>
      <name val="Arial"/>
      <family val="2"/>
    </font>
    <font>
      <sz val="10"/>
      <color theme="0"/>
      <name val="Arial"/>
      <family val="2"/>
    </font>
    <font>
      <b/>
      <sz val="10"/>
      <color theme="0"/>
      <name val="Arial"/>
      <family val="2"/>
    </font>
    <font>
      <b/>
      <sz val="9"/>
      <color indexed="81"/>
      <name val="Tahoma"/>
      <family val="2"/>
    </font>
    <font>
      <sz val="9"/>
      <color indexed="81"/>
      <name val="Tahoma"/>
      <family val="2"/>
    </font>
    <font>
      <b/>
      <sz val="9"/>
      <name val="Arial"/>
      <family val="2"/>
    </font>
    <font>
      <sz val="10"/>
      <color rgb="FFFF0000"/>
      <name val="Arial"/>
      <family val="2"/>
    </font>
    <font>
      <b/>
      <sz val="10"/>
      <color rgb="FFFF0000"/>
      <name val="Arial"/>
      <family val="2"/>
    </font>
    <font>
      <b/>
      <sz val="11"/>
      <color theme="1"/>
      <name val="Calibri"/>
      <family val="2"/>
      <scheme val="minor"/>
    </font>
    <font>
      <b/>
      <sz val="10"/>
      <color theme="1"/>
      <name val="Arial"/>
      <family val="2"/>
    </font>
    <font>
      <sz val="10.5"/>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double">
        <color indexed="64"/>
      </right>
      <top style="hair">
        <color indexed="64"/>
      </top>
      <bottom/>
      <diagonal/>
    </border>
    <border>
      <left style="hair">
        <color indexed="8"/>
      </left>
      <right style="double">
        <color indexed="64"/>
      </right>
      <top style="hair">
        <color indexed="64"/>
      </top>
      <bottom style="hair">
        <color indexed="64"/>
      </bottom>
      <diagonal/>
    </border>
    <border>
      <left style="hair">
        <color indexed="8"/>
      </left>
      <right style="hair">
        <color indexed="64"/>
      </right>
      <top style="hair">
        <color indexed="8"/>
      </top>
      <bottom style="hair">
        <color indexed="8"/>
      </bottom>
      <diagonal/>
    </border>
    <border>
      <left style="hair">
        <color indexed="64"/>
      </left>
      <right style="double">
        <color indexed="64"/>
      </right>
      <top style="hair">
        <color indexed="64"/>
      </top>
      <bottom style="hair">
        <color indexed="64"/>
      </bottom>
      <diagonal/>
    </border>
    <border>
      <left style="double">
        <color indexed="64"/>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right style="hair">
        <color indexed="64"/>
      </right>
      <top style="hair">
        <color indexed="8"/>
      </top>
      <bottom style="hair">
        <color indexed="8"/>
      </bottom>
      <diagonal/>
    </border>
    <border>
      <left style="hair">
        <color indexed="64"/>
      </left>
      <right style="double">
        <color indexed="64"/>
      </right>
      <top/>
      <bottom/>
      <diagonal/>
    </border>
    <border>
      <left style="double">
        <color indexed="64"/>
      </left>
      <right/>
      <top style="hair">
        <color indexed="8"/>
      </top>
      <bottom style="hair">
        <color indexed="64"/>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style="hair">
        <color indexed="64"/>
      </left>
      <right style="hair">
        <color indexed="64"/>
      </right>
      <top style="hair">
        <color indexed="8"/>
      </top>
      <bottom style="hair">
        <color indexed="64"/>
      </bottom>
      <diagonal/>
    </border>
    <border>
      <left style="hair">
        <color indexed="64"/>
      </left>
      <right/>
      <top style="hair">
        <color indexed="8"/>
      </top>
      <bottom style="hair">
        <color indexed="64"/>
      </bottom>
      <diagonal/>
    </border>
    <border>
      <left style="double">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8"/>
      </right>
      <top style="hair">
        <color indexed="8"/>
      </top>
      <bottom style="hair">
        <color indexed="8"/>
      </bottom>
      <diagonal/>
    </border>
    <border>
      <left style="double">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double">
        <color indexed="64"/>
      </left>
      <right style="hair">
        <color indexed="64"/>
      </right>
      <top style="hair">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64"/>
      </left>
      <right style="hair">
        <color indexed="8"/>
      </right>
      <top style="hair">
        <color indexed="64"/>
      </top>
      <bottom style="hair">
        <color indexed="8"/>
      </bottom>
      <diagonal/>
    </border>
    <border>
      <left style="double">
        <color indexed="64"/>
      </left>
      <right/>
      <top style="hair">
        <color indexed="8"/>
      </top>
      <bottom style="double">
        <color indexed="64"/>
      </bottom>
      <diagonal/>
    </border>
    <border>
      <left/>
      <right/>
      <top style="hair">
        <color indexed="8"/>
      </top>
      <bottom style="double">
        <color indexed="64"/>
      </bottom>
      <diagonal/>
    </border>
    <border>
      <left style="medium">
        <color indexed="64"/>
      </left>
      <right style="hair">
        <color indexed="64"/>
      </right>
      <top style="medium">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top/>
      <bottom style="hair">
        <color indexed="8"/>
      </bottom>
      <diagonal/>
    </border>
    <border>
      <left/>
      <right/>
      <top/>
      <bottom style="hair">
        <color indexed="8"/>
      </bottom>
      <diagonal/>
    </border>
    <border>
      <left/>
      <right/>
      <top style="double">
        <color indexed="64"/>
      </top>
      <bottom style="double">
        <color indexed="64"/>
      </bottom>
      <diagonal/>
    </border>
    <border>
      <left style="hair">
        <color indexed="8"/>
      </left>
      <right style="hair">
        <color indexed="8"/>
      </right>
      <top/>
      <bottom style="hair">
        <color indexed="8"/>
      </bottom>
      <diagonal/>
    </border>
    <border>
      <left style="hair">
        <color indexed="8"/>
      </left>
      <right style="hair">
        <color indexed="64"/>
      </right>
      <top/>
      <bottom style="hair">
        <color indexed="8"/>
      </bottom>
      <diagonal/>
    </border>
    <border>
      <left/>
      <right/>
      <top style="hair">
        <color indexed="8"/>
      </top>
      <bottom/>
      <diagonal/>
    </border>
    <border>
      <left style="double">
        <color indexed="64"/>
      </left>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diagonal/>
    </border>
    <border>
      <left style="double">
        <color indexed="64"/>
      </left>
      <right style="hair">
        <color indexed="8"/>
      </right>
      <top/>
      <bottom style="hair">
        <color indexed="8"/>
      </bottom>
      <diagonal/>
    </border>
    <border>
      <left style="hair">
        <color indexed="8"/>
      </left>
      <right style="double">
        <color indexed="64"/>
      </right>
      <top/>
      <bottom style="hair">
        <color indexed="8"/>
      </bottom>
      <diagonal/>
    </border>
    <border>
      <left style="double">
        <color indexed="64"/>
      </left>
      <right/>
      <top style="hair">
        <color indexed="8"/>
      </top>
      <bottom/>
      <diagonal/>
    </border>
    <border>
      <left style="double">
        <color indexed="64"/>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top/>
      <bottom style="hair">
        <color indexed="8"/>
      </bottom>
      <diagonal/>
    </border>
    <border>
      <left style="hair">
        <color indexed="8"/>
      </left>
      <right style="hair">
        <color indexed="8"/>
      </right>
      <top style="hair">
        <color indexed="64"/>
      </top>
      <bottom style="hair">
        <color indexed="8"/>
      </bottom>
      <diagonal/>
    </border>
    <border>
      <left style="hair">
        <color indexed="8"/>
      </left>
      <right style="hair">
        <color indexed="64"/>
      </right>
      <top style="hair">
        <color indexed="64"/>
      </top>
      <bottom style="hair">
        <color indexed="8"/>
      </bottom>
      <diagonal/>
    </border>
    <border>
      <left style="hair">
        <color indexed="64"/>
      </left>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9" fontId="6" fillId="0" borderId="0" applyFont="0" applyFill="0" applyBorder="0" applyAlignment="0" applyProtection="0"/>
    <xf numFmtId="183" fontId="1" fillId="0" borderId="0" applyFont="0" applyFill="0" applyBorder="0" applyAlignment="0" applyProtection="0"/>
  </cellStyleXfs>
  <cellXfs count="245">
    <xf numFmtId="0" fontId="0" fillId="0" borderId="0" xfId="0"/>
    <xf numFmtId="0" fontId="2" fillId="0" borderId="0" xfId="0" applyFont="1"/>
    <xf numFmtId="0" fontId="5" fillId="0" borderId="2" xfId="0" applyFont="1" applyFill="1" applyBorder="1" applyAlignment="1">
      <alignment vertical="center"/>
    </xf>
    <xf numFmtId="0" fontId="5" fillId="0" borderId="3" xfId="0" applyFont="1" applyFill="1" applyBorder="1" applyAlignment="1">
      <alignment vertical="center"/>
    </xf>
    <xf numFmtId="0" fontId="4" fillId="2" borderId="3" xfId="0" applyFont="1" applyFill="1" applyBorder="1" applyAlignment="1" applyProtection="1">
      <alignment horizontal="left" vertical="center"/>
    </xf>
    <xf numFmtId="0" fontId="2" fillId="0" borderId="4" xfId="0" applyFont="1" applyBorder="1"/>
    <xf numFmtId="0" fontId="5" fillId="0" borderId="5"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6" xfId="0" applyFont="1" applyBorder="1"/>
    <xf numFmtId="0" fontId="4" fillId="0" borderId="5" xfId="0" applyFont="1" applyFill="1" applyBorder="1" applyAlignment="1">
      <alignment vertical="center"/>
    </xf>
    <xf numFmtId="0" fontId="2" fillId="0" borderId="10" xfId="0" applyFont="1" applyBorder="1"/>
    <xf numFmtId="0" fontId="4" fillId="0" borderId="7"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2" fillId="0" borderId="13" xfId="0" applyFont="1" applyBorder="1"/>
    <xf numFmtId="0" fontId="5" fillId="0" borderId="8" xfId="0" applyFont="1" applyFill="1" applyBorder="1" applyAlignment="1" applyProtection="1">
      <alignment horizontal="center" vertical="center"/>
    </xf>
    <xf numFmtId="166" fontId="5" fillId="0" borderId="8" xfId="3" applyNumberFormat="1" applyFont="1" applyFill="1" applyBorder="1" applyAlignment="1" applyProtection="1">
      <alignment horizontal="center" vertical="center"/>
    </xf>
    <xf numFmtId="167" fontId="5" fillId="0" borderId="8" xfId="0" applyNumberFormat="1" applyFont="1" applyFill="1" applyBorder="1" applyAlignment="1" applyProtection="1">
      <alignment horizontal="right" vertical="center"/>
    </xf>
    <xf numFmtId="168" fontId="5" fillId="0" borderId="8" xfId="0" applyNumberFormat="1" applyFont="1" applyFill="1" applyBorder="1" applyAlignment="1" applyProtection="1">
      <alignment horizontal="center" vertical="center"/>
    </xf>
    <xf numFmtId="169" fontId="5" fillId="0" borderId="8" xfId="0" applyNumberFormat="1"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5" xfId="0" applyFont="1" applyFill="1" applyBorder="1" applyAlignment="1" applyProtection="1">
      <alignment horizontal="left" vertical="center"/>
    </xf>
    <xf numFmtId="9" fontId="5" fillId="0" borderId="15" xfId="0" applyNumberFormat="1" applyFont="1" applyFill="1" applyBorder="1" applyAlignment="1" applyProtection="1">
      <alignment horizontal="center" vertical="center"/>
    </xf>
    <xf numFmtId="9" fontId="5" fillId="0" borderId="15" xfId="3" applyFont="1" applyFill="1" applyBorder="1" applyAlignment="1" applyProtection="1">
      <alignment horizontal="center" vertical="center"/>
    </xf>
    <xf numFmtId="170" fontId="4" fillId="3" borderId="9" xfId="0" applyNumberFormat="1" applyFont="1" applyFill="1" applyBorder="1" applyAlignment="1" applyProtection="1">
      <alignment vertical="center"/>
    </xf>
    <xf numFmtId="10" fontId="2" fillId="0" borderId="6" xfId="0" applyNumberFormat="1" applyFont="1" applyBorder="1"/>
    <xf numFmtId="0" fontId="2" fillId="0" borderId="18" xfId="0" applyFont="1" applyBorder="1"/>
    <xf numFmtId="9" fontId="5" fillId="0" borderId="8" xfId="3" applyFont="1" applyFill="1" applyBorder="1" applyAlignment="1" applyProtection="1">
      <alignment horizontal="left" vertical="center" wrapText="1"/>
    </xf>
    <xf numFmtId="170" fontId="5" fillId="0" borderId="8" xfId="0" applyNumberFormat="1" applyFont="1" applyFill="1" applyBorder="1" applyAlignment="1" applyProtection="1">
      <alignment horizontal="right" vertical="center"/>
    </xf>
    <xf numFmtId="172" fontId="5" fillId="0" borderId="8" xfId="0" applyNumberFormat="1" applyFont="1" applyFill="1" applyBorder="1" applyAlignment="1" applyProtection="1">
      <alignment horizontal="center" vertical="center" wrapText="1"/>
    </xf>
    <xf numFmtId="170" fontId="5" fillId="0" borderId="9" xfId="0" applyNumberFormat="1" applyFont="1" applyFill="1" applyBorder="1" applyAlignment="1" applyProtection="1">
      <alignment horizontal="right" vertical="center"/>
    </xf>
    <xf numFmtId="10" fontId="2" fillId="0" borderId="13" xfId="1" applyNumberFormat="1" applyFont="1" applyBorder="1"/>
    <xf numFmtId="9" fontId="5" fillId="0" borderId="8" xfId="3" applyFont="1" applyFill="1" applyBorder="1" applyAlignment="1" applyProtection="1">
      <alignment horizontal="center" vertical="center" wrapText="1"/>
    </xf>
    <xf numFmtId="2" fontId="5" fillId="0" borderId="8" xfId="0" applyNumberFormat="1" applyFont="1" applyFill="1" applyBorder="1" applyAlignment="1" applyProtection="1">
      <alignment horizontal="center" vertical="center" wrapText="1"/>
    </xf>
    <xf numFmtId="167" fontId="5" fillId="0" borderId="8" xfId="0" applyNumberFormat="1" applyFont="1" applyFill="1" applyBorder="1" applyAlignment="1" applyProtection="1">
      <alignment horizontal="right" vertical="center" wrapText="1"/>
    </xf>
    <xf numFmtId="173" fontId="5" fillId="0" borderId="8" xfId="0" applyNumberFormat="1" applyFont="1" applyFill="1" applyBorder="1" applyAlignment="1" applyProtection="1">
      <alignment horizontal="center" vertical="center"/>
    </xf>
    <xf numFmtId="170" fontId="4" fillId="0" borderId="9" xfId="0" applyNumberFormat="1" applyFont="1" applyFill="1" applyBorder="1" applyAlignment="1" applyProtection="1">
      <alignment vertical="center"/>
    </xf>
    <xf numFmtId="37" fontId="4" fillId="0" borderId="22" xfId="0" applyNumberFormat="1" applyFont="1" applyFill="1" applyBorder="1" applyAlignment="1" applyProtection="1">
      <alignment horizontal="left" vertical="center"/>
    </xf>
    <xf numFmtId="37" fontId="4" fillId="0" borderId="23" xfId="0" applyNumberFormat="1" applyFont="1" applyFill="1" applyBorder="1" applyAlignment="1" applyProtection="1">
      <alignment horizontal="left" vertical="center"/>
    </xf>
    <xf numFmtId="37" fontId="5" fillId="0" borderId="27" xfId="0" applyNumberFormat="1" applyFont="1" applyFill="1" applyBorder="1" applyAlignment="1" applyProtection="1">
      <alignment horizontal="center" vertical="center"/>
    </xf>
    <xf numFmtId="37" fontId="4" fillId="0" borderId="27" xfId="0" applyNumberFormat="1" applyFont="1" applyFill="1" applyBorder="1" applyAlignment="1" applyProtection="1">
      <alignment horizontal="left" vertical="center"/>
    </xf>
    <xf numFmtId="174" fontId="5" fillId="0" borderId="27" xfId="0" applyNumberFormat="1" applyFont="1" applyFill="1" applyBorder="1" applyAlignment="1" applyProtection="1">
      <alignment horizontal="center" vertical="center"/>
    </xf>
    <xf numFmtId="170" fontId="5" fillId="0" borderId="27" xfId="0" applyNumberFormat="1" applyFont="1" applyFill="1" applyBorder="1" applyAlignment="1" applyProtection="1">
      <alignment vertical="center"/>
    </xf>
    <xf numFmtId="0" fontId="4" fillId="0" borderId="15" xfId="0" applyFont="1" applyFill="1" applyBorder="1" applyAlignment="1" applyProtection="1">
      <alignment vertical="center"/>
    </xf>
    <xf numFmtId="0" fontId="4" fillId="0" borderId="12" xfId="0" applyFont="1" applyFill="1" applyBorder="1" applyAlignment="1">
      <alignment horizontal="center" vertical="center"/>
    </xf>
    <xf numFmtId="9" fontId="5" fillId="4" borderId="15" xfId="0" applyNumberFormat="1" applyFont="1" applyFill="1" applyBorder="1" applyAlignment="1" applyProtection="1">
      <alignment horizontal="center" vertical="center"/>
    </xf>
    <xf numFmtId="176" fontId="5" fillId="0" borderId="9" xfId="0" applyNumberFormat="1" applyFont="1" applyFill="1" applyBorder="1" applyAlignment="1">
      <alignment horizontal="right" vertical="center"/>
    </xf>
    <xf numFmtId="9" fontId="5" fillId="4" borderId="28" xfId="0" applyNumberFormat="1" applyFont="1" applyFill="1" applyBorder="1" applyAlignment="1" applyProtection="1">
      <alignment horizontal="center" vertical="center"/>
    </xf>
    <xf numFmtId="9" fontId="5" fillId="0" borderId="28" xfId="0" applyNumberFormat="1" applyFont="1" applyFill="1" applyBorder="1" applyAlignment="1" applyProtection="1">
      <alignment horizontal="center" vertical="center" wrapText="1"/>
    </xf>
    <xf numFmtId="10" fontId="7" fillId="0" borderId="15" xfId="0" applyNumberFormat="1" applyFont="1" applyFill="1" applyBorder="1" applyAlignment="1">
      <alignment horizontal="center"/>
    </xf>
    <xf numFmtId="167" fontId="4" fillId="3" borderId="9" xfId="0" applyNumberFormat="1" applyFont="1" applyFill="1" applyBorder="1" applyAlignment="1" applyProtection="1">
      <alignment vertical="center"/>
    </xf>
    <xf numFmtId="10" fontId="2" fillId="0" borderId="13" xfId="0" applyNumberFormat="1" applyFont="1" applyBorder="1"/>
    <xf numFmtId="0" fontId="4" fillId="0" borderId="8" xfId="0" applyFont="1" applyFill="1" applyBorder="1" applyAlignment="1" applyProtection="1">
      <alignment horizontal="center" vertical="center"/>
    </xf>
    <xf numFmtId="0" fontId="4" fillId="0" borderId="9" xfId="0" applyFont="1" applyFill="1" applyBorder="1" applyAlignment="1">
      <alignment horizontal="center" vertical="center"/>
    </xf>
    <xf numFmtId="0" fontId="5" fillId="0" borderId="5"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9" fontId="5" fillId="0" borderId="0" xfId="3" applyFont="1" applyFill="1" applyBorder="1" applyAlignment="1" applyProtection="1">
      <alignment vertical="center"/>
    </xf>
    <xf numFmtId="0" fontId="5" fillId="0" borderId="0" xfId="0" applyFont="1" applyFill="1" applyBorder="1" applyAlignment="1">
      <alignment horizontal="right" vertical="center"/>
    </xf>
    <xf numFmtId="10" fontId="5" fillId="0" borderId="0" xfId="0" applyNumberFormat="1" applyFont="1" applyFill="1" applyBorder="1" applyAlignment="1" applyProtection="1">
      <alignment horizontal="center" vertical="center"/>
    </xf>
    <xf numFmtId="177" fontId="5" fillId="0" borderId="33" xfId="0" applyNumberFormat="1" applyFont="1" applyFill="1" applyBorder="1" applyAlignment="1">
      <alignment vertical="center"/>
    </xf>
    <xf numFmtId="9" fontId="5" fillId="0" borderId="8" xfId="0" applyNumberFormat="1" applyFont="1" applyFill="1" applyBorder="1" applyAlignment="1" applyProtection="1">
      <alignment horizontal="center" vertical="center" wrapText="1"/>
    </xf>
    <xf numFmtId="178" fontId="5" fillId="0" borderId="8" xfId="0" applyNumberFormat="1" applyFont="1" applyFill="1" applyBorder="1" applyAlignment="1" applyProtection="1">
      <alignment vertical="center" wrapText="1"/>
    </xf>
    <xf numFmtId="172" fontId="5" fillId="0" borderId="8" xfId="0" applyNumberFormat="1" applyFont="1" applyFill="1" applyBorder="1" applyAlignment="1" applyProtection="1">
      <alignment vertical="center" wrapText="1"/>
    </xf>
    <xf numFmtId="10" fontId="5" fillId="0" borderId="8" xfId="1" applyNumberFormat="1" applyFont="1" applyFill="1" applyBorder="1" applyAlignment="1">
      <alignment horizontal="center" vertical="center" wrapText="1"/>
    </xf>
    <xf numFmtId="176" fontId="5" fillId="0" borderId="12" xfId="0" applyNumberFormat="1" applyFont="1" applyFill="1" applyBorder="1" applyAlignment="1">
      <alignment vertical="center" wrapText="1"/>
    </xf>
    <xf numFmtId="167" fontId="4" fillId="3" borderId="12" xfId="0" applyNumberFormat="1" applyFont="1" applyFill="1" applyBorder="1" applyAlignment="1" applyProtection="1">
      <alignment vertical="center"/>
    </xf>
    <xf numFmtId="10" fontId="2" fillId="0" borderId="13" xfId="3" applyNumberFormat="1" applyFont="1" applyBorder="1"/>
    <xf numFmtId="9" fontId="4" fillId="0" borderId="16" xfId="3" applyFont="1" applyFill="1" applyBorder="1" applyAlignment="1" applyProtection="1">
      <alignment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0" fontId="4" fillId="0" borderId="9" xfId="0" applyNumberFormat="1" applyFont="1" applyFill="1" applyBorder="1" applyAlignment="1" applyProtection="1">
      <alignment horizontal="right" vertical="center"/>
    </xf>
    <xf numFmtId="179" fontId="2" fillId="0" borderId="13" xfId="0" applyNumberFormat="1" applyFont="1" applyBorder="1"/>
    <xf numFmtId="0" fontId="4" fillId="0" borderId="16" xfId="0" applyFont="1" applyFill="1" applyBorder="1" applyAlignment="1">
      <alignment vertical="center"/>
    </xf>
    <xf numFmtId="0" fontId="4" fillId="0" borderId="15" xfId="0" applyFont="1" applyFill="1" applyBorder="1" applyAlignment="1">
      <alignment vertical="center"/>
    </xf>
    <xf numFmtId="10" fontId="4" fillId="0" borderId="9" xfId="0" applyNumberFormat="1" applyFont="1" applyFill="1" applyBorder="1" applyAlignment="1" applyProtection="1">
      <alignment vertical="center"/>
    </xf>
    <xf numFmtId="0" fontId="4" fillId="0" borderId="34" xfId="0" applyFont="1" applyFill="1" applyBorder="1" applyAlignment="1" applyProtection="1">
      <alignment horizontal="left" vertical="center"/>
    </xf>
    <xf numFmtId="0" fontId="4" fillId="0" borderId="35" xfId="0" applyFont="1" applyFill="1" applyBorder="1" applyAlignment="1" applyProtection="1">
      <alignment horizontal="left" vertical="center"/>
    </xf>
    <xf numFmtId="0" fontId="4" fillId="0" borderId="35" xfId="0" applyFont="1" applyFill="1" applyBorder="1" applyAlignment="1">
      <alignment vertical="center"/>
    </xf>
    <xf numFmtId="10" fontId="4" fillId="5" borderId="36" xfId="0" applyNumberFormat="1" applyFont="1" applyFill="1" applyBorder="1" applyAlignment="1" applyProtection="1">
      <alignment horizontal="center" vertical="center"/>
    </xf>
    <xf numFmtId="10" fontId="2" fillId="0" borderId="37" xfId="0" applyNumberFormat="1" applyFont="1" applyBorder="1"/>
    <xf numFmtId="0" fontId="7" fillId="0" borderId="0" xfId="0" applyFont="1" applyBorder="1" applyAlignment="1">
      <alignment horizontal="left" vertical="center"/>
    </xf>
    <xf numFmtId="0" fontId="2" fillId="0" borderId="0" xfId="0" applyFont="1" applyBorder="1"/>
    <xf numFmtId="180" fontId="8" fillId="0" borderId="0" xfId="0" applyNumberFormat="1" applyFont="1" applyFill="1"/>
    <xf numFmtId="181" fontId="2" fillId="0" borderId="0" xfId="0" applyNumberFormat="1" applyFont="1"/>
    <xf numFmtId="164" fontId="8" fillId="0" borderId="0" xfId="0" applyNumberFormat="1" applyFont="1"/>
    <xf numFmtId="182" fontId="8" fillId="0" borderId="0" xfId="0" applyNumberFormat="1" applyFont="1"/>
    <xf numFmtId="0" fontId="4" fillId="0" borderId="0" xfId="0" applyFont="1" applyFill="1" applyBorder="1" applyAlignment="1">
      <alignment horizontal="center" vertical="center" wrapText="1"/>
    </xf>
    <xf numFmtId="0" fontId="5" fillId="0" borderId="16" xfId="0" applyFont="1" applyFill="1" applyBorder="1" applyAlignment="1" applyProtection="1">
      <alignment horizontal="center" vertical="center"/>
    </xf>
    <xf numFmtId="165" fontId="9" fillId="0" borderId="0" xfId="2" applyNumberFormat="1" applyFont="1" applyFill="1" applyBorder="1" applyAlignment="1">
      <alignment vertical="center"/>
    </xf>
    <xf numFmtId="0" fontId="9" fillId="0" borderId="3"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14" fontId="4" fillId="0" borderId="0" xfId="0" applyNumberFormat="1" applyFont="1" applyFill="1" applyBorder="1" applyAlignment="1">
      <alignment horizontal="center" vertical="center" wrapText="1"/>
    </xf>
    <xf numFmtId="0" fontId="7" fillId="0" borderId="1" xfId="0" applyFont="1" applyBorder="1" applyAlignment="1">
      <alignment horizontal="left" vertical="center"/>
    </xf>
    <xf numFmtId="0" fontId="2" fillId="0" borderId="1" xfId="0" applyFont="1" applyBorder="1"/>
    <xf numFmtId="181" fontId="2" fillId="0" borderId="1" xfId="0" applyNumberFormat="1" applyFont="1" applyBorder="1"/>
    <xf numFmtId="164" fontId="8" fillId="0" borderId="1" xfId="0" applyNumberFormat="1" applyFont="1" applyBorder="1"/>
    <xf numFmtId="182" fontId="8" fillId="0" borderId="1" xfId="0" applyNumberFormat="1" applyFont="1" applyBorder="1"/>
    <xf numFmtId="0" fontId="4" fillId="0" borderId="0" xfId="0" applyFont="1" applyFill="1" applyBorder="1" applyAlignment="1">
      <alignment horizontal="center" vertical="center" wrapText="1"/>
    </xf>
    <xf numFmtId="0" fontId="4" fillId="0" borderId="8"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5" fillId="0" borderId="8"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168" fontId="5" fillId="0" borderId="8" xfId="0" applyNumberFormat="1" applyFont="1" applyBorder="1" applyAlignment="1">
      <alignment horizontal="center" vertical="center"/>
    </xf>
    <xf numFmtId="167" fontId="5" fillId="0" borderId="8" xfId="0" applyNumberFormat="1" applyFont="1" applyBorder="1" applyAlignment="1">
      <alignment horizontal="right" vertical="center"/>
    </xf>
    <xf numFmtId="170" fontId="4" fillId="3" borderId="9" xfId="0" applyNumberFormat="1" applyFont="1" applyFill="1" applyBorder="1" applyAlignment="1">
      <alignment vertical="center"/>
    </xf>
    <xf numFmtId="171" fontId="5" fillId="0" borderId="6" xfId="0" applyNumberFormat="1" applyFont="1" applyBorder="1" applyAlignment="1">
      <alignment vertical="center"/>
    </xf>
    <xf numFmtId="166" fontId="5" fillId="0" borderId="15" xfId="0" applyNumberFormat="1" applyFont="1" applyFill="1" applyBorder="1" applyAlignment="1" applyProtection="1">
      <alignment horizontal="center" vertical="center"/>
    </xf>
    <xf numFmtId="0" fontId="0" fillId="0" borderId="0" xfId="0" applyBorder="1"/>
    <xf numFmtId="37" fontId="4" fillId="0" borderId="0" xfId="0" applyNumberFormat="1" applyFont="1" applyBorder="1" applyAlignment="1">
      <alignment horizontal="center" vertical="center"/>
    </xf>
    <xf numFmtId="37" fontId="4" fillId="0" borderId="0" xfId="0" applyNumberFormat="1" applyFont="1" applyBorder="1" applyAlignment="1">
      <alignment horizontal="left" vertical="center"/>
    </xf>
    <xf numFmtId="0" fontId="2" fillId="0" borderId="2" xfId="0" applyFont="1" applyBorder="1"/>
    <xf numFmtId="0" fontId="2" fillId="0" borderId="3" xfId="0" applyFont="1" applyBorder="1" applyAlignment="1"/>
    <xf numFmtId="0" fontId="2" fillId="0" borderId="5" xfId="0" applyFont="1" applyBorder="1"/>
    <xf numFmtId="165" fontId="9" fillId="0" borderId="3" xfId="2" applyNumberFormat="1" applyFont="1" applyFill="1" applyBorder="1" applyAlignment="1">
      <alignment vertical="center"/>
    </xf>
    <xf numFmtId="0" fontId="2" fillId="0" borderId="46" xfId="0" applyFont="1" applyBorder="1"/>
    <xf numFmtId="171" fontId="5" fillId="0" borderId="48" xfId="0" applyNumberFormat="1" applyFont="1" applyBorder="1" applyAlignment="1">
      <alignment vertical="center"/>
    </xf>
    <xf numFmtId="10" fontId="2" fillId="0" borderId="6" xfId="1" applyNumberFormat="1" applyFont="1" applyBorder="1"/>
    <xf numFmtId="165" fontId="4" fillId="2" borderId="3" xfId="2" applyNumberFormat="1" applyFont="1" applyFill="1" applyBorder="1" applyAlignment="1">
      <alignment vertical="center"/>
    </xf>
    <xf numFmtId="170" fontId="4" fillId="3" borderId="53" xfId="0" applyNumberFormat="1" applyFont="1" applyFill="1" applyBorder="1" applyAlignment="1" applyProtection="1">
      <alignment vertical="center"/>
    </xf>
    <xf numFmtId="0" fontId="5" fillId="0" borderId="33" xfId="0" applyFont="1" applyBorder="1" applyAlignment="1">
      <alignment horizontal="center" vertical="center"/>
    </xf>
    <xf numFmtId="0" fontId="5" fillId="0" borderId="54" xfId="0" applyFont="1" applyFill="1" applyBorder="1" applyAlignment="1" applyProtection="1">
      <alignment horizontal="center" vertical="center"/>
    </xf>
    <xf numFmtId="0" fontId="5" fillId="0" borderId="54" xfId="0" applyFont="1" applyFill="1" applyBorder="1" applyAlignment="1" applyProtection="1">
      <alignment horizontal="left" vertical="center" wrapText="1"/>
    </xf>
    <xf numFmtId="166" fontId="5" fillId="0" borderId="54" xfId="3" applyNumberFormat="1" applyFont="1" applyFill="1" applyBorder="1" applyAlignment="1" applyProtection="1">
      <alignment horizontal="center" vertical="center"/>
    </xf>
    <xf numFmtId="167" fontId="5" fillId="0" borderId="54" xfId="0" applyNumberFormat="1" applyFont="1" applyFill="1" applyBorder="1" applyAlignment="1" applyProtection="1">
      <alignment horizontal="right" vertical="center"/>
    </xf>
    <xf numFmtId="168" fontId="5" fillId="0" borderId="54" xfId="0" applyNumberFormat="1" applyFont="1" applyFill="1" applyBorder="1" applyAlignment="1" applyProtection="1">
      <alignment horizontal="center" vertical="center"/>
    </xf>
    <xf numFmtId="169" fontId="5" fillId="0" borderId="54" xfId="0" applyNumberFormat="1" applyFont="1" applyFill="1" applyBorder="1" applyAlignment="1" applyProtection="1">
      <alignment horizontal="center" vertical="center"/>
    </xf>
    <xf numFmtId="170" fontId="5" fillId="0" borderId="55" xfId="0" applyNumberFormat="1" applyFont="1" applyFill="1" applyBorder="1" applyAlignment="1" applyProtection="1">
      <alignment vertical="center"/>
    </xf>
    <xf numFmtId="0" fontId="5" fillId="0" borderId="28" xfId="0" applyFont="1" applyBorder="1" applyAlignment="1">
      <alignment horizontal="center" vertical="center"/>
    </xf>
    <xf numFmtId="170" fontId="5" fillId="0" borderId="12" xfId="0" applyNumberFormat="1" applyFont="1" applyFill="1" applyBorder="1" applyAlignment="1" applyProtection="1">
      <alignment vertical="center"/>
    </xf>
    <xf numFmtId="0" fontId="5" fillId="0" borderId="56" xfId="0" applyFont="1" applyBorder="1" applyAlignment="1">
      <alignment horizontal="center" vertical="center"/>
    </xf>
    <xf numFmtId="0" fontId="12" fillId="0" borderId="8" xfId="0" applyFont="1" applyBorder="1" applyAlignment="1">
      <alignment horizontal="center" vertical="center" wrapText="1"/>
    </xf>
    <xf numFmtId="10" fontId="5" fillId="0" borderId="8" xfId="1" applyNumberFormat="1" applyFont="1" applyFill="1" applyBorder="1" applyAlignment="1" applyProtection="1">
      <alignment horizontal="center" vertical="center" wrapText="1"/>
    </xf>
    <xf numFmtId="170" fontId="5" fillId="0" borderId="8" xfId="0" applyNumberFormat="1" applyFont="1" applyBorder="1" applyAlignment="1">
      <alignment horizontal="right" vertical="center"/>
    </xf>
    <xf numFmtId="0" fontId="13" fillId="0" borderId="3" xfId="0" applyFont="1" applyFill="1" applyBorder="1" applyAlignment="1">
      <alignment vertical="center"/>
    </xf>
    <xf numFmtId="0" fontId="13" fillId="0" borderId="4" xfId="0" applyFont="1" applyBorder="1"/>
    <xf numFmtId="0" fontId="14"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3" fillId="0" borderId="6" xfId="0" applyFont="1" applyBorder="1"/>
    <xf numFmtId="37" fontId="4" fillId="0" borderId="8" xfId="0" applyNumberFormat="1" applyFont="1" applyFill="1" applyBorder="1" applyAlignment="1" applyProtection="1">
      <alignment horizontal="left"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5" fillId="0" borderId="14"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37" fontId="4" fillId="0" borderId="0" xfId="0" applyNumberFormat="1" applyFont="1" applyBorder="1" applyAlignment="1">
      <alignment horizontal="left" vertical="center"/>
    </xf>
    <xf numFmtId="37" fontId="4" fillId="0" borderId="49" xfId="0" applyNumberFormat="1" applyFont="1" applyFill="1" applyBorder="1" applyAlignment="1" applyProtection="1">
      <alignment horizontal="left" vertical="center"/>
    </xf>
    <xf numFmtId="37" fontId="4" fillId="0" borderId="43" xfId="0" applyNumberFormat="1" applyFont="1" applyFill="1" applyBorder="1" applyAlignment="1" applyProtection="1">
      <alignment horizontal="left" vertical="center"/>
    </xf>
    <xf numFmtId="0" fontId="17" fillId="0" borderId="0" xfId="0" applyFont="1" applyAlignment="1">
      <alignment vertical="center" wrapText="1"/>
    </xf>
    <xf numFmtId="0" fontId="16" fillId="6" borderId="57" xfId="0" applyFont="1" applyFill="1" applyBorder="1" applyAlignment="1">
      <alignment horizontal="center" vertical="center" wrapText="1"/>
    </xf>
    <xf numFmtId="0" fontId="2" fillId="0" borderId="57" xfId="0" applyFont="1" applyBorder="1" applyAlignment="1">
      <alignment horizontal="center" vertical="center" wrapText="1"/>
    </xf>
    <xf numFmtId="175" fontId="5" fillId="7" borderId="57" xfId="0" applyNumberFormat="1" applyFont="1" applyFill="1" applyBorder="1" applyAlignment="1">
      <alignment horizontal="center" vertical="center" wrapText="1"/>
    </xf>
    <xf numFmtId="183" fontId="2" fillId="0" borderId="57" xfId="4" applyFont="1" applyBorder="1" applyAlignment="1">
      <alignment vertical="center" wrapText="1"/>
    </xf>
    <xf numFmtId="0" fontId="2" fillId="0" borderId="57" xfId="4" applyNumberFormat="1" applyFont="1" applyBorder="1" applyAlignment="1">
      <alignment horizontal="center" vertical="center" wrapText="1"/>
    </xf>
    <xf numFmtId="184" fontId="2" fillId="0" borderId="57" xfId="4" applyNumberFormat="1" applyFont="1" applyBorder="1" applyAlignment="1">
      <alignment horizontal="center" vertical="center" wrapText="1"/>
    </xf>
    <xf numFmtId="175" fontId="2" fillId="7" borderId="57"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75" fontId="2" fillId="7" borderId="0" xfId="0" applyNumberFormat="1" applyFont="1" applyFill="1" applyAlignment="1">
      <alignment horizontal="center" vertical="center" wrapText="1"/>
    </xf>
    <xf numFmtId="183" fontId="2" fillId="0" borderId="0" xfId="4" applyFont="1" applyBorder="1" applyAlignment="1">
      <alignment vertical="center" wrapText="1"/>
    </xf>
    <xf numFmtId="184" fontId="2" fillId="0" borderId="0" xfId="4" applyNumberFormat="1" applyFont="1" applyBorder="1" applyAlignment="1">
      <alignment horizontal="center" vertical="center" wrapText="1"/>
    </xf>
    <xf numFmtId="184" fontId="15" fillId="8" borderId="57" xfId="0" applyNumberFormat="1" applyFont="1" applyFill="1" applyBorder="1"/>
    <xf numFmtId="0" fontId="2" fillId="0" borderId="57" xfId="0" applyFont="1" applyBorder="1" applyAlignment="1">
      <alignment horizontal="left" vertical="center" wrapText="1"/>
    </xf>
    <xf numFmtId="0" fontId="16" fillId="0" borderId="0" xfId="0" applyFont="1" applyAlignment="1">
      <alignment horizontal="center" wrapText="1"/>
    </xf>
    <xf numFmtId="0" fontId="0" fillId="0" borderId="0" xfId="0" applyAlignment="1">
      <alignment horizontal="left" vertical="top" wrapText="1"/>
    </xf>
    <xf numFmtId="0" fontId="16" fillId="6" borderId="57" xfId="0" applyFont="1" applyFill="1" applyBorder="1" applyAlignment="1">
      <alignment horizontal="center" vertical="center" wrapText="1"/>
    </xf>
    <xf numFmtId="0" fontId="16" fillId="6" borderId="58" xfId="0" applyFont="1" applyFill="1" applyBorder="1" applyAlignment="1">
      <alignment horizontal="center" vertical="center" wrapText="1"/>
    </xf>
    <xf numFmtId="0" fontId="16" fillId="6" borderId="59" xfId="0" applyFont="1" applyFill="1" applyBorder="1" applyAlignment="1">
      <alignment horizontal="center" vertical="center" wrapText="1"/>
    </xf>
    <xf numFmtId="0" fontId="15" fillId="8" borderId="57" xfId="0" applyFont="1" applyFill="1" applyBorder="1" applyAlignment="1">
      <alignment horizontal="center"/>
    </xf>
    <xf numFmtId="37" fontId="4" fillId="0" borderId="5" xfId="0" applyNumberFormat="1" applyFont="1" applyBorder="1" applyAlignment="1">
      <alignment horizontal="left" vertical="center"/>
    </xf>
    <xf numFmtId="37" fontId="4" fillId="0" borderId="0" xfId="0" applyNumberFormat="1"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28" xfId="0" applyFont="1" applyBorder="1" applyAlignment="1">
      <alignment horizontal="left" vertical="center"/>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56"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3" fillId="0" borderId="3" xfId="0" applyFont="1" applyBorder="1" applyAlignment="1">
      <alignment horizontal="center"/>
    </xf>
    <xf numFmtId="0" fontId="4" fillId="0" borderId="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7"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8"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4"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37" fontId="4" fillId="0" borderId="19" xfId="0" applyNumberFormat="1" applyFont="1" applyFill="1" applyBorder="1" applyAlignment="1" applyProtection="1">
      <alignment horizontal="left" vertical="center"/>
    </xf>
    <xf numFmtId="37" fontId="4" fillId="0" borderId="20" xfId="0" applyNumberFormat="1" applyFont="1" applyFill="1" applyBorder="1" applyAlignment="1" applyProtection="1">
      <alignment horizontal="left" vertical="center"/>
    </xf>
    <xf numFmtId="37" fontId="4" fillId="0" borderId="21" xfId="0" applyNumberFormat="1" applyFont="1" applyFill="1" applyBorder="1" applyAlignment="1" applyProtection="1">
      <alignment horizontal="left" vertical="center"/>
    </xf>
    <xf numFmtId="0" fontId="5" fillId="0" borderId="8" xfId="0" applyFont="1" applyFill="1" applyBorder="1" applyAlignment="1" applyProtection="1">
      <alignment horizontal="left" vertical="center"/>
    </xf>
    <xf numFmtId="37" fontId="4" fillId="0" borderId="47" xfId="0" applyNumberFormat="1" applyFont="1" applyFill="1" applyBorder="1" applyAlignment="1" applyProtection="1">
      <alignment horizontal="left" vertical="center"/>
    </xf>
    <xf numFmtId="37" fontId="4" fillId="0" borderId="41" xfId="0" applyNumberFormat="1" applyFont="1" applyFill="1" applyBorder="1" applyAlignment="1" applyProtection="1">
      <alignment horizontal="left"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5" fillId="0" borderId="15" xfId="0" applyFont="1" applyFill="1" applyBorder="1" applyAlignment="1" applyProtection="1">
      <alignment horizontal="left" vertical="center" wrapText="1"/>
    </xf>
    <xf numFmtId="37" fontId="4" fillId="0" borderId="7" xfId="0" applyNumberFormat="1" applyFont="1" applyFill="1" applyBorder="1" applyAlignment="1" applyProtection="1">
      <alignment horizontal="left" vertical="center"/>
    </xf>
    <xf numFmtId="37" fontId="4" fillId="0" borderId="8" xfId="0" applyNumberFormat="1" applyFont="1" applyFill="1" applyBorder="1" applyAlignment="1" applyProtection="1">
      <alignment horizontal="left" vertical="center"/>
    </xf>
    <xf numFmtId="0" fontId="4" fillId="0" borderId="47"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37" fontId="4" fillId="0" borderId="49" xfId="0" applyNumberFormat="1" applyFont="1" applyBorder="1" applyAlignment="1">
      <alignment horizontal="center" vertical="center"/>
    </xf>
    <xf numFmtId="37" fontId="4" fillId="0" borderId="43" xfId="0" applyNumberFormat="1" applyFont="1" applyBorder="1" applyAlignment="1">
      <alignment horizontal="center" vertical="center"/>
    </xf>
    <xf numFmtId="37" fontId="4" fillId="0" borderId="7" xfId="0" applyNumberFormat="1" applyFont="1" applyBorder="1" applyAlignment="1">
      <alignment horizontal="left" vertical="center"/>
    </xf>
    <xf numFmtId="37" fontId="4" fillId="0" borderId="8" xfId="0" applyNumberFormat="1" applyFont="1" applyBorder="1" applyAlignment="1">
      <alignment horizontal="left" vertical="center"/>
    </xf>
    <xf numFmtId="0" fontId="0" fillId="0" borderId="40" xfId="0" applyBorder="1" applyAlignment="1">
      <alignment horizontal="justify" vertical="center" wrapTex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4" fillId="0" borderId="14"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7" fillId="0" borderId="24" xfId="0" applyFont="1" applyFill="1" applyBorder="1" applyAlignment="1">
      <alignment horizontal="left"/>
    </xf>
    <xf numFmtId="0" fontId="7" fillId="0" borderId="25" xfId="0" applyFont="1" applyFill="1" applyBorder="1" applyAlignment="1">
      <alignment horizontal="left"/>
    </xf>
    <xf numFmtId="0" fontId="7" fillId="0" borderId="26" xfId="0" applyFont="1" applyFill="1" applyBorder="1" applyAlignment="1">
      <alignment horizontal="left"/>
    </xf>
    <xf numFmtId="0" fontId="4" fillId="0" borderId="38" xfId="0" applyFont="1" applyFill="1" applyBorder="1" applyAlignment="1" applyProtection="1">
      <alignment horizontal="left" vertical="center"/>
    </xf>
    <xf numFmtId="0" fontId="4" fillId="0" borderId="39" xfId="0" applyFont="1" applyFill="1" applyBorder="1" applyAlignment="1" applyProtection="1">
      <alignment horizontal="left" vertical="center"/>
    </xf>
    <xf numFmtId="175" fontId="4" fillId="0" borderId="14" xfId="0" applyNumberFormat="1" applyFont="1" applyFill="1" applyBorder="1" applyAlignment="1" applyProtection="1">
      <alignment vertical="center"/>
    </xf>
    <xf numFmtId="175" fontId="4" fillId="0" borderId="9" xfId="0" applyNumberFormat="1" applyFont="1" applyFill="1" applyBorder="1" applyAlignment="1" applyProtection="1">
      <alignment vertical="center"/>
    </xf>
    <xf numFmtId="0" fontId="4" fillId="0" borderId="14"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5" fillId="0" borderId="17" xfId="0" applyFont="1" applyFill="1" applyBorder="1" applyAlignment="1" applyProtection="1">
      <alignment horizontal="left" vertical="center"/>
    </xf>
  </cellXfs>
  <cellStyles count="5">
    <cellStyle name="Moneda 2" xfId="4"/>
    <cellStyle name="Moneda 2 3 2" xfId="2"/>
    <cellStyle name="Normal" xfId="0" builtinId="0"/>
    <cellStyle name="Porcentaje" xfId="1"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cguerrero/Documents/CAMILO/EPA%202020/PRESUPUESTOS%202do%20semestre/pptos%20obras%20y%20consultorias/4.%20Tunel%2019/Actualizaci&#243;n%202020/Informaci&#243;n%20actualizada%20(Anexo%20F%20Presupuestos)/1.%20Presupuesto%20y%20cronograma/ANEXO%20F%20-%20PPTO_Reforzamiento_T&#250;nel%2019.xlsx?22C54571" TargetMode="External"/><Relationship Id="rId1" Type="http://schemas.openxmlformats.org/officeDocument/2006/relationships/externalLinkPath" Target="file:///\\22C54571\ANEXO%20F%20-%20PPTO_Reforzamiento_T&#250;ne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T-R-021"/>
      <sheetName val="PRESUPUESTO"/>
      <sheetName val="APU"/>
      <sheetName val="M.O 2018"/>
      <sheetName val="M.O 2020"/>
      <sheetName val="especiales "/>
      <sheetName val="CANTIDADES"/>
    </sheetNames>
    <sheetDataSet>
      <sheetData sheetId="0">
        <row r="105">
          <cell r="H105">
            <v>2334941646</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0"/>
  <sheetViews>
    <sheetView view="pageBreakPreview" zoomScaleNormal="100" zoomScaleSheetLayoutView="100" workbookViewId="0">
      <selection activeCell="I17" sqref="I17"/>
    </sheetView>
  </sheetViews>
  <sheetFormatPr baseColWidth="10" defaultRowHeight="14.4" x14ac:dyDescent="0.3"/>
  <cols>
    <col min="1" max="1" width="19.5546875" customWidth="1"/>
    <col min="2" max="2" width="15.6640625" customWidth="1"/>
    <col min="3" max="3" width="11.6640625" bestFit="1" customWidth="1"/>
    <col min="4" max="4" width="10.44140625" customWidth="1"/>
    <col min="5" max="5" width="15.33203125" bestFit="1" customWidth="1"/>
    <col min="6" max="6" width="15.33203125" customWidth="1"/>
    <col min="7" max="7" width="13.88671875" bestFit="1" customWidth="1"/>
    <col min="8" max="8" width="14.6640625" bestFit="1" customWidth="1"/>
  </cols>
  <sheetData>
    <row r="2" spans="1:8" x14ac:dyDescent="0.3">
      <c r="A2" s="175" t="s">
        <v>123</v>
      </c>
      <c r="B2" s="175"/>
      <c r="C2" s="175"/>
      <c r="D2" s="175"/>
      <c r="E2" s="175"/>
      <c r="F2" s="175"/>
      <c r="G2" s="175"/>
      <c r="H2" s="175"/>
    </row>
    <row r="4" spans="1:8" ht="31.5" customHeight="1" x14ac:dyDescent="0.3">
      <c r="A4" s="176" t="s">
        <v>100</v>
      </c>
      <c r="B4" s="176"/>
      <c r="C4" s="176"/>
      <c r="D4" s="176"/>
      <c r="E4" s="176"/>
      <c r="F4" s="176"/>
      <c r="G4" s="176"/>
      <c r="H4" s="176"/>
    </row>
    <row r="6" spans="1:8" s="160" customFormat="1" ht="13.8" x14ac:dyDescent="0.3">
      <c r="A6" s="177" t="s">
        <v>101</v>
      </c>
      <c r="B6" s="177"/>
      <c r="C6" s="177"/>
      <c r="D6" s="177"/>
      <c r="E6" s="177"/>
      <c r="F6" s="177"/>
      <c r="G6" s="177"/>
      <c r="H6" s="177"/>
    </row>
    <row r="7" spans="1:8" s="160" customFormat="1" ht="26.4" x14ac:dyDescent="0.3">
      <c r="A7" s="178" t="s">
        <v>102</v>
      </c>
      <c r="B7" s="179"/>
      <c r="C7" s="161" t="s">
        <v>103</v>
      </c>
      <c r="D7" s="161" t="s">
        <v>104</v>
      </c>
      <c r="E7" s="161" t="s">
        <v>105</v>
      </c>
      <c r="F7" s="161" t="s">
        <v>106</v>
      </c>
      <c r="G7" s="161" t="s">
        <v>107</v>
      </c>
      <c r="H7" s="161" t="s">
        <v>108</v>
      </c>
    </row>
    <row r="8" spans="1:8" s="160" customFormat="1" ht="13.8" x14ac:dyDescent="0.3">
      <c r="A8" s="174" t="s">
        <v>109</v>
      </c>
      <c r="B8" s="174"/>
      <c r="C8" s="162" t="s">
        <v>77</v>
      </c>
      <c r="D8" s="163">
        <v>1</v>
      </c>
      <c r="E8" s="164">
        <v>246900</v>
      </c>
      <c r="F8" s="164">
        <f>+E8/12</f>
        <v>20575</v>
      </c>
      <c r="G8" s="165">
        <f>+AIU!$D$6</f>
        <v>6.5</v>
      </c>
      <c r="H8" s="166">
        <f>+G8*F8</f>
        <v>133737.5</v>
      </c>
    </row>
    <row r="9" spans="1:8" s="160" customFormat="1" ht="13.8" x14ac:dyDescent="0.3">
      <c r="A9" s="174" t="s">
        <v>110</v>
      </c>
      <c r="B9" s="174"/>
      <c r="C9" s="162" t="s">
        <v>77</v>
      </c>
      <c r="D9" s="163">
        <v>1</v>
      </c>
      <c r="E9" s="164">
        <v>35900</v>
      </c>
      <c r="F9" s="164">
        <f>+E9/12</f>
        <v>2991.6666666666665</v>
      </c>
      <c r="G9" s="165">
        <f>+AIU!$D$6</f>
        <v>6.5</v>
      </c>
      <c r="H9" s="166">
        <f t="shared" ref="H9:H12" si="0">+G9*F9</f>
        <v>19445.833333333332</v>
      </c>
    </row>
    <row r="10" spans="1:8" s="160" customFormat="1" ht="13.8" x14ac:dyDescent="0.3">
      <c r="A10" s="174" t="s">
        <v>111</v>
      </c>
      <c r="B10" s="174"/>
      <c r="C10" s="162" t="s">
        <v>77</v>
      </c>
      <c r="D10" s="163">
        <v>1</v>
      </c>
      <c r="E10" s="164">
        <v>29900</v>
      </c>
      <c r="F10" s="164">
        <f>+E10/12</f>
        <v>2491.6666666666665</v>
      </c>
      <c r="G10" s="165">
        <f>+AIU!$D$6</f>
        <v>6.5</v>
      </c>
      <c r="H10" s="166">
        <f t="shared" si="0"/>
        <v>16195.833333333332</v>
      </c>
    </row>
    <row r="11" spans="1:8" s="160" customFormat="1" ht="32.25" customHeight="1" x14ac:dyDescent="0.3">
      <c r="A11" s="174" t="s">
        <v>112</v>
      </c>
      <c r="B11" s="174"/>
      <c r="C11" s="162" t="s">
        <v>113</v>
      </c>
      <c r="D11" s="163">
        <v>2</v>
      </c>
      <c r="E11" s="164">
        <v>149900</v>
      </c>
      <c r="F11" s="164">
        <f>+E11/12</f>
        <v>12491.666666666666</v>
      </c>
      <c r="G11" s="165">
        <f>+AIU!$D$6</f>
        <v>6.5</v>
      </c>
      <c r="H11" s="166">
        <f t="shared" si="0"/>
        <v>81195.833333333328</v>
      </c>
    </row>
    <row r="12" spans="1:8" s="160" customFormat="1" ht="32.25" customHeight="1" x14ac:dyDescent="0.3">
      <c r="A12" s="174" t="s">
        <v>114</v>
      </c>
      <c r="B12" s="174"/>
      <c r="C12" s="162" t="s">
        <v>113</v>
      </c>
      <c r="D12" s="167">
        <v>1</v>
      </c>
      <c r="E12" s="164">
        <v>149700</v>
      </c>
      <c r="F12" s="164">
        <f>+E12/12</f>
        <v>12475</v>
      </c>
      <c r="G12" s="165">
        <f>+AIU!$D$6</f>
        <v>6.5</v>
      </c>
      <c r="H12" s="166">
        <f t="shared" si="0"/>
        <v>81087.5</v>
      </c>
    </row>
    <row r="13" spans="1:8" s="160" customFormat="1" ht="15.75" customHeight="1" x14ac:dyDescent="0.3">
      <c r="A13" s="168"/>
      <c r="B13" s="168"/>
      <c r="C13" s="169"/>
      <c r="D13" s="170"/>
      <c r="E13" s="171"/>
      <c r="F13" s="171"/>
      <c r="G13" s="171"/>
      <c r="H13" s="172"/>
    </row>
    <row r="14" spans="1:8" s="160" customFormat="1" ht="32.25" customHeight="1" x14ac:dyDescent="0.3">
      <c r="A14" s="177" t="s">
        <v>102</v>
      </c>
      <c r="B14" s="177"/>
      <c r="C14" s="177"/>
      <c r="D14" s="177"/>
      <c r="E14" s="161" t="s">
        <v>103</v>
      </c>
      <c r="F14" s="161" t="s">
        <v>104</v>
      </c>
      <c r="G14" s="161" t="s">
        <v>105</v>
      </c>
      <c r="H14" s="161" t="s">
        <v>108</v>
      </c>
    </row>
    <row r="15" spans="1:8" s="160" customFormat="1" ht="27.75" customHeight="1" x14ac:dyDescent="0.3">
      <c r="A15" s="174" t="s">
        <v>115</v>
      </c>
      <c r="B15" s="174"/>
      <c r="C15" s="174"/>
      <c r="D15" s="174"/>
      <c r="E15" s="162" t="s">
        <v>77</v>
      </c>
      <c r="F15" s="167">
        <v>80</v>
      </c>
      <c r="G15" s="164">
        <v>27000</v>
      </c>
      <c r="H15" s="166">
        <f>+ROUND(G15*F15,1)</f>
        <v>2160000</v>
      </c>
    </row>
    <row r="16" spans="1:8" s="160" customFormat="1" ht="27.75" customHeight="1" x14ac:dyDescent="0.3">
      <c r="A16" s="174" t="s">
        <v>116</v>
      </c>
      <c r="B16" s="174"/>
      <c r="C16" s="174"/>
      <c r="D16" s="174"/>
      <c r="E16" s="162" t="s">
        <v>77</v>
      </c>
      <c r="F16" s="167">
        <v>80</v>
      </c>
      <c r="G16" s="164">
        <v>27000</v>
      </c>
      <c r="H16" s="166">
        <f>+ROUND(G16*F16,1)</f>
        <v>2160000</v>
      </c>
    </row>
    <row r="17" spans="1:8" s="160" customFormat="1" ht="13.5" customHeight="1" x14ac:dyDescent="0.3">
      <c r="A17" s="174" t="s">
        <v>117</v>
      </c>
      <c r="B17" s="174"/>
      <c r="C17" s="174"/>
      <c r="D17" s="174"/>
      <c r="E17" s="162" t="s">
        <v>76</v>
      </c>
      <c r="F17" s="167">
        <v>6.5</v>
      </c>
      <c r="G17" s="164">
        <f>310000</f>
        <v>310000</v>
      </c>
      <c r="H17" s="166">
        <f>+ROUND(G17*F17,1)</f>
        <v>2015000</v>
      </c>
    </row>
    <row r="18" spans="1:8" s="160" customFormat="1" ht="13.5" customHeight="1" x14ac:dyDescent="0.3">
      <c r="A18" s="174" t="s">
        <v>118</v>
      </c>
      <c r="B18" s="174"/>
      <c r="C18" s="174"/>
      <c r="D18" s="174"/>
      <c r="E18" s="162" t="s">
        <v>77</v>
      </c>
      <c r="F18" s="163">
        <v>1</v>
      </c>
      <c r="G18" s="164">
        <v>1500000</v>
      </c>
      <c r="H18" s="166">
        <f>+ROUND(G18*F18,1)</f>
        <v>1500000</v>
      </c>
    </row>
    <row r="20" spans="1:8" x14ac:dyDescent="0.3">
      <c r="E20" s="180" t="s">
        <v>119</v>
      </c>
      <c r="F20" s="180"/>
      <c r="G20" s="180"/>
      <c r="H20" s="173">
        <f>+SUM(H15:H18,H8:H12)</f>
        <v>8166662.4999999991</v>
      </c>
    </row>
  </sheetData>
  <mergeCells count="15">
    <mergeCell ref="A17:D17"/>
    <mergeCell ref="A18:D18"/>
    <mergeCell ref="E20:G20"/>
    <mergeCell ref="A10:B10"/>
    <mergeCell ref="A11:B11"/>
    <mergeCell ref="A12:B12"/>
    <mergeCell ref="A14:D14"/>
    <mergeCell ref="A15:D15"/>
    <mergeCell ref="A16:D16"/>
    <mergeCell ref="A9:B9"/>
    <mergeCell ref="A2:H2"/>
    <mergeCell ref="A4:H4"/>
    <mergeCell ref="A6:H6"/>
    <mergeCell ref="A7:B7"/>
    <mergeCell ref="A8:B8"/>
  </mergeCells>
  <printOptions horizontalCentered="1"/>
  <pageMargins left="0.70866141732283472" right="0.70866141732283472" top="0.74803149606299213" bottom="0.74803149606299213" header="0.31496062992125984" footer="0.31496062992125984"/>
  <pageSetup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9"/>
  <sheetViews>
    <sheetView tabSelected="1" view="pageBreakPreview" topLeftCell="A10" zoomScale="85" zoomScaleNormal="85" zoomScaleSheetLayoutView="85" workbookViewId="0">
      <selection activeCell="B16" sqref="B16"/>
    </sheetView>
  </sheetViews>
  <sheetFormatPr baseColWidth="10" defaultRowHeight="14.4" x14ac:dyDescent="0.3"/>
  <cols>
    <col min="2" max="2" width="13.44140625" customWidth="1"/>
    <col min="3" max="3" width="46.109375" bestFit="1" customWidth="1"/>
    <col min="4" max="4" width="20.33203125" customWidth="1"/>
    <col min="5" max="5" width="12.44140625" bestFit="1" customWidth="1"/>
    <col min="6" max="6" width="16.6640625" bestFit="1" customWidth="1"/>
    <col min="7" max="7" width="15" customWidth="1"/>
    <col min="8" max="8" width="20.88671875" customWidth="1"/>
    <col min="9" max="9" width="25" customWidth="1"/>
    <col min="10" max="10" width="42.33203125" customWidth="1"/>
    <col min="11" max="11" width="17" customWidth="1"/>
    <col min="14" max="14" width="6.6640625" customWidth="1"/>
    <col min="255" max="255" width="14.33203125" customWidth="1"/>
    <col min="256" max="256" width="45.6640625" customWidth="1"/>
    <col min="257" max="257" width="19.5546875" customWidth="1"/>
    <col min="258" max="258" width="16.6640625" customWidth="1"/>
    <col min="259" max="259" width="21" customWidth="1"/>
    <col min="260" max="260" width="16.44140625" customWidth="1"/>
    <col min="261" max="261" width="21" customWidth="1"/>
    <col min="262" max="262" width="20.109375" customWidth="1"/>
    <col min="263" max="263" width="42.33203125" customWidth="1"/>
    <col min="264" max="264" width="20.109375" customWidth="1"/>
    <col min="511" max="511" width="14.33203125" customWidth="1"/>
    <col min="512" max="512" width="45.6640625" customWidth="1"/>
    <col min="513" max="513" width="19.5546875" customWidth="1"/>
    <col min="514" max="514" width="16.6640625" customWidth="1"/>
    <col min="515" max="515" width="21" customWidth="1"/>
    <col min="516" max="516" width="16.44140625" customWidth="1"/>
    <col min="517" max="517" width="21" customWidth="1"/>
    <col min="518" max="518" width="20.109375" customWidth="1"/>
    <col min="519" max="519" width="42.33203125" customWidth="1"/>
    <col min="520" max="520" width="20.109375" customWidth="1"/>
    <col min="767" max="767" width="14.33203125" customWidth="1"/>
    <col min="768" max="768" width="45.6640625" customWidth="1"/>
    <col min="769" max="769" width="19.5546875" customWidth="1"/>
    <col min="770" max="770" width="16.6640625" customWidth="1"/>
    <col min="771" max="771" width="21" customWidth="1"/>
    <col min="772" max="772" width="16.44140625" customWidth="1"/>
    <col min="773" max="773" width="21" customWidth="1"/>
    <col min="774" max="774" width="20.109375" customWidth="1"/>
    <col min="775" max="775" width="42.33203125" customWidth="1"/>
    <col min="776" max="776" width="20.109375" customWidth="1"/>
    <col min="1023" max="1023" width="14.33203125" customWidth="1"/>
    <col min="1024" max="1024" width="45.6640625" customWidth="1"/>
    <col min="1025" max="1025" width="19.5546875" customWidth="1"/>
    <col min="1026" max="1026" width="16.6640625" customWidth="1"/>
    <col min="1027" max="1027" width="21" customWidth="1"/>
    <col min="1028" max="1028" width="16.44140625" customWidth="1"/>
    <col min="1029" max="1029" width="21" customWidth="1"/>
    <col min="1030" max="1030" width="20.109375" customWidth="1"/>
    <col min="1031" max="1031" width="42.33203125" customWidth="1"/>
    <col min="1032" max="1032" width="20.109375" customWidth="1"/>
    <col min="1279" max="1279" width="14.33203125" customWidth="1"/>
    <col min="1280" max="1280" width="45.6640625" customWidth="1"/>
    <col min="1281" max="1281" width="19.5546875" customWidth="1"/>
    <col min="1282" max="1282" width="16.6640625" customWidth="1"/>
    <col min="1283" max="1283" width="21" customWidth="1"/>
    <col min="1284" max="1284" width="16.44140625" customWidth="1"/>
    <col min="1285" max="1285" width="21" customWidth="1"/>
    <col min="1286" max="1286" width="20.109375" customWidth="1"/>
    <col min="1287" max="1287" width="42.33203125" customWidth="1"/>
    <col min="1288" max="1288" width="20.109375" customWidth="1"/>
    <col min="1535" max="1535" width="14.33203125" customWidth="1"/>
    <col min="1536" max="1536" width="45.6640625" customWidth="1"/>
    <col min="1537" max="1537" width="19.5546875" customWidth="1"/>
    <col min="1538" max="1538" width="16.6640625" customWidth="1"/>
    <col min="1539" max="1539" width="21" customWidth="1"/>
    <col min="1540" max="1540" width="16.44140625" customWidth="1"/>
    <col min="1541" max="1541" width="21" customWidth="1"/>
    <col min="1542" max="1542" width="20.109375" customWidth="1"/>
    <col min="1543" max="1543" width="42.33203125" customWidth="1"/>
    <col min="1544" max="1544" width="20.109375" customWidth="1"/>
    <col min="1791" max="1791" width="14.33203125" customWidth="1"/>
    <col min="1792" max="1792" width="45.6640625" customWidth="1"/>
    <col min="1793" max="1793" width="19.5546875" customWidth="1"/>
    <col min="1794" max="1794" width="16.6640625" customWidth="1"/>
    <col min="1795" max="1795" width="21" customWidth="1"/>
    <col min="1796" max="1796" width="16.44140625" customWidth="1"/>
    <col min="1797" max="1797" width="21" customWidth="1"/>
    <col min="1798" max="1798" width="20.109375" customWidth="1"/>
    <col min="1799" max="1799" width="42.33203125" customWidth="1"/>
    <col min="1800" max="1800" width="20.109375" customWidth="1"/>
    <col min="2047" max="2047" width="14.33203125" customWidth="1"/>
    <col min="2048" max="2048" width="45.6640625" customWidth="1"/>
    <col min="2049" max="2049" width="19.5546875" customWidth="1"/>
    <col min="2050" max="2050" width="16.6640625" customWidth="1"/>
    <col min="2051" max="2051" width="21" customWidth="1"/>
    <col min="2052" max="2052" width="16.44140625" customWidth="1"/>
    <col min="2053" max="2053" width="21" customWidth="1"/>
    <col min="2054" max="2054" width="20.109375" customWidth="1"/>
    <col min="2055" max="2055" width="42.33203125" customWidth="1"/>
    <col min="2056" max="2056" width="20.109375" customWidth="1"/>
    <col min="2303" max="2303" width="14.33203125" customWidth="1"/>
    <col min="2304" max="2304" width="45.6640625" customWidth="1"/>
    <col min="2305" max="2305" width="19.5546875" customWidth="1"/>
    <col min="2306" max="2306" width="16.6640625" customWidth="1"/>
    <col min="2307" max="2307" width="21" customWidth="1"/>
    <col min="2308" max="2308" width="16.44140625" customWidth="1"/>
    <col min="2309" max="2309" width="21" customWidth="1"/>
    <col min="2310" max="2310" width="20.109375" customWidth="1"/>
    <col min="2311" max="2311" width="42.33203125" customWidth="1"/>
    <col min="2312" max="2312" width="20.109375" customWidth="1"/>
    <col min="2559" max="2559" width="14.33203125" customWidth="1"/>
    <col min="2560" max="2560" width="45.6640625" customWidth="1"/>
    <col min="2561" max="2561" width="19.5546875" customWidth="1"/>
    <col min="2562" max="2562" width="16.6640625" customWidth="1"/>
    <col min="2563" max="2563" width="21" customWidth="1"/>
    <col min="2564" max="2564" width="16.44140625" customWidth="1"/>
    <col min="2565" max="2565" width="21" customWidth="1"/>
    <col min="2566" max="2566" width="20.109375" customWidth="1"/>
    <col min="2567" max="2567" width="42.33203125" customWidth="1"/>
    <col min="2568" max="2568" width="20.109375" customWidth="1"/>
    <col min="2815" max="2815" width="14.33203125" customWidth="1"/>
    <col min="2816" max="2816" width="45.6640625" customWidth="1"/>
    <col min="2817" max="2817" width="19.5546875" customWidth="1"/>
    <col min="2818" max="2818" width="16.6640625" customWidth="1"/>
    <col min="2819" max="2819" width="21" customWidth="1"/>
    <col min="2820" max="2820" width="16.44140625" customWidth="1"/>
    <col min="2821" max="2821" width="21" customWidth="1"/>
    <col min="2822" max="2822" width="20.109375" customWidth="1"/>
    <col min="2823" max="2823" width="42.33203125" customWidth="1"/>
    <col min="2824" max="2824" width="20.109375" customWidth="1"/>
    <col min="3071" max="3071" width="14.33203125" customWidth="1"/>
    <col min="3072" max="3072" width="45.6640625" customWidth="1"/>
    <col min="3073" max="3073" width="19.5546875" customWidth="1"/>
    <col min="3074" max="3074" width="16.6640625" customWidth="1"/>
    <col min="3075" max="3075" width="21" customWidth="1"/>
    <col min="3076" max="3076" width="16.44140625" customWidth="1"/>
    <col min="3077" max="3077" width="21" customWidth="1"/>
    <col min="3078" max="3078" width="20.109375" customWidth="1"/>
    <col min="3079" max="3079" width="42.33203125" customWidth="1"/>
    <col min="3080" max="3080" width="20.109375" customWidth="1"/>
    <col min="3327" max="3327" width="14.33203125" customWidth="1"/>
    <col min="3328" max="3328" width="45.6640625" customWidth="1"/>
    <col min="3329" max="3329" width="19.5546875" customWidth="1"/>
    <col min="3330" max="3330" width="16.6640625" customWidth="1"/>
    <col min="3331" max="3331" width="21" customWidth="1"/>
    <col min="3332" max="3332" width="16.44140625" customWidth="1"/>
    <col min="3333" max="3333" width="21" customWidth="1"/>
    <col min="3334" max="3334" width="20.109375" customWidth="1"/>
    <col min="3335" max="3335" width="42.33203125" customWidth="1"/>
    <col min="3336" max="3336" width="20.109375" customWidth="1"/>
    <col min="3583" max="3583" width="14.33203125" customWidth="1"/>
    <col min="3584" max="3584" width="45.6640625" customWidth="1"/>
    <col min="3585" max="3585" width="19.5546875" customWidth="1"/>
    <col min="3586" max="3586" width="16.6640625" customWidth="1"/>
    <col min="3587" max="3587" width="21" customWidth="1"/>
    <col min="3588" max="3588" width="16.44140625" customWidth="1"/>
    <col min="3589" max="3589" width="21" customWidth="1"/>
    <col min="3590" max="3590" width="20.109375" customWidth="1"/>
    <col min="3591" max="3591" width="42.33203125" customWidth="1"/>
    <col min="3592" max="3592" width="20.109375" customWidth="1"/>
    <col min="3839" max="3839" width="14.33203125" customWidth="1"/>
    <col min="3840" max="3840" width="45.6640625" customWidth="1"/>
    <col min="3841" max="3841" width="19.5546875" customWidth="1"/>
    <col min="3842" max="3842" width="16.6640625" customWidth="1"/>
    <col min="3843" max="3843" width="21" customWidth="1"/>
    <col min="3844" max="3844" width="16.44140625" customWidth="1"/>
    <col min="3845" max="3845" width="21" customWidth="1"/>
    <col min="3846" max="3846" width="20.109375" customWidth="1"/>
    <col min="3847" max="3847" width="42.33203125" customWidth="1"/>
    <col min="3848" max="3848" width="20.109375" customWidth="1"/>
    <col min="4095" max="4095" width="14.33203125" customWidth="1"/>
    <col min="4096" max="4096" width="45.6640625" customWidth="1"/>
    <col min="4097" max="4097" width="19.5546875" customWidth="1"/>
    <col min="4098" max="4098" width="16.6640625" customWidth="1"/>
    <col min="4099" max="4099" width="21" customWidth="1"/>
    <col min="4100" max="4100" width="16.44140625" customWidth="1"/>
    <col min="4101" max="4101" width="21" customWidth="1"/>
    <col min="4102" max="4102" width="20.109375" customWidth="1"/>
    <col min="4103" max="4103" width="42.33203125" customWidth="1"/>
    <col min="4104" max="4104" width="20.109375" customWidth="1"/>
    <col min="4351" max="4351" width="14.33203125" customWidth="1"/>
    <col min="4352" max="4352" width="45.6640625" customWidth="1"/>
    <col min="4353" max="4353" width="19.5546875" customWidth="1"/>
    <col min="4354" max="4354" width="16.6640625" customWidth="1"/>
    <col min="4355" max="4355" width="21" customWidth="1"/>
    <col min="4356" max="4356" width="16.44140625" customWidth="1"/>
    <col min="4357" max="4357" width="21" customWidth="1"/>
    <col min="4358" max="4358" width="20.109375" customWidth="1"/>
    <col min="4359" max="4359" width="42.33203125" customWidth="1"/>
    <col min="4360" max="4360" width="20.109375" customWidth="1"/>
    <col min="4607" max="4607" width="14.33203125" customWidth="1"/>
    <col min="4608" max="4608" width="45.6640625" customWidth="1"/>
    <col min="4609" max="4609" width="19.5546875" customWidth="1"/>
    <col min="4610" max="4610" width="16.6640625" customWidth="1"/>
    <col min="4611" max="4611" width="21" customWidth="1"/>
    <col min="4612" max="4612" width="16.44140625" customWidth="1"/>
    <col min="4613" max="4613" width="21" customWidth="1"/>
    <col min="4614" max="4614" width="20.109375" customWidth="1"/>
    <col min="4615" max="4615" width="42.33203125" customWidth="1"/>
    <col min="4616" max="4616" width="20.109375" customWidth="1"/>
    <col min="4863" max="4863" width="14.33203125" customWidth="1"/>
    <col min="4864" max="4864" width="45.6640625" customWidth="1"/>
    <col min="4865" max="4865" width="19.5546875" customWidth="1"/>
    <col min="4866" max="4866" width="16.6640625" customWidth="1"/>
    <col min="4867" max="4867" width="21" customWidth="1"/>
    <col min="4868" max="4868" width="16.44140625" customWidth="1"/>
    <col min="4869" max="4869" width="21" customWidth="1"/>
    <col min="4870" max="4870" width="20.109375" customWidth="1"/>
    <col min="4871" max="4871" width="42.33203125" customWidth="1"/>
    <col min="4872" max="4872" width="20.109375" customWidth="1"/>
    <col min="5119" max="5119" width="14.33203125" customWidth="1"/>
    <col min="5120" max="5120" width="45.6640625" customWidth="1"/>
    <col min="5121" max="5121" width="19.5546875" customWidth="1"/>
    <col min="5122" max="5122" width="16.6640625" customWidth="1"/>
    <col min="5123" max="5123" width="21" customWidth="1"/>
    <col min="5124" max="5124" width="16.44140625" customWidth="1"/>
    <col min="5125" max="5125" width="21" customWidth="1"/>
    <col min="5126" max="5126" width="20.109375" customWidth="1"/>
    <col min="5127" max="5127" width="42.33203125" customWidth="1"/>
    <col min="5128" max="5128" width="20.109375" customWidth="1"/>
    <col min="5375" max="5375" width="14.33203125" customWidth="1"/>
    <col min="5376" max="5376" width="45.6640625" customWidth="1"/>
    <col min="5377" max="5377" width="19.5546875" customWidth="1"/>
    <col min="5378" max="5378" width="16.6640625" customWidth="1"/>
    <col min="5379" max="5379" width="21" customWidth="1"/>
    <col min="5380" max="5380" width="16.44140625" customWidth="1"/>
    <col min="5381" max="5381" width="21" customWidth="1"/>
    <col min="5382" max="5382" width="20.109375" customWidth="1"/>
    <col min="5383" max="5383" width="42.33203125" customWidth="1"/>
    <col min="5384" max="5384" width="20.109375" customWidth="1"/>
    <col min="5631" max="5631" width="14.33203125" customWidth="1"/>
    <col min="5632" max="5632" width="45.6640625" customWidth="1"/>
    <col min="5633" max="5633" width="19.5546875" customWidth="1"/>
    <col min="5634" max="5634" width="16.6640625" customWidth="1"/>
    <col min="5635" max="5635" width="21" customWidth="1"/>
    <col min="5636" max="5636" width="16.44140625" customWidth="1"/>
    <col min="5637" max="5637" width="21" customWidth="1"/>
    <col min="5638" max="5638" width="20.109375" customWidth="1"/>
    <col min="5639" max="5639" width="42.33203125" customWidth="1"/>
    <col min="5640" max="5640" width="20.109375" customWidth="1"/>
    <col min="5887" max="5887" width="14.33203125" customWidth="1"/>
    <col min="5888" max="5888" width="45.6640625" customWidth="1"/>
    <col min="5889" max="5889" width="19.5546875" customWidth="1"/>
    <col min="5890" max="5890" width="16.6640625" customWidth="1"/>
    <col min="5891" max="5891" width="21" customWidth="1"/>
    <col min="5892" max="5892" width="16.44140625" customWidth="1"/>
    <col min="5893" max="5893" width="21" customWidth="1"/>
    <col min="5894" max="5894" width="20.109375" customWidth="1"/>
    <col min="5895" max="5895" width="42.33203125" customWidth="1"/>
    <col min="5896" max="5896" width="20.109375" customWidth="1"/>
    <col min="6143" max="6143" width="14.33203125" customWidth="1"/>
    <col min="6144" max="6144" width="45.6640625" customWidth="1"/>
    <col min="6145" max="6145" width="19.5546875" customWidth="1"/>
    <col min="6146" max="6146" width="16.6640625" customWidth="1"/>
    <col min="6147" max="6147" width="21" customWidth="1"/>
    <col min="6148" max="6148" width="16.44140625" customWidth="1"/>
    <col min="6149" max="6149" width="21" customWidth="1"/>
    <col min="6150" max="6150" width="20.109375" customWidth="1"/>
    <col min="6151" max="6151" width="42.33203125" customWidth="1"/>
    <col min="6152" max="6152" width="20.109375" customWidth="1"/>
    <col min="6399" max="6399" width="14.33203125" customWidth="1"/>
    <col min="6400" max="6400" width="45.6640625" customWidth="1"/>
    <col min="6401" max="6401" width="19.5546875" customWidth="1"/>
    <col min="6402" max="6402" width="16.6640625" customWidth="1"/>
    <col min="6403" max="6403" width="21" customWidth="1"/>
    <col min="6404" max="6404" width="16.44140625" customWidth="1"/>
    <col min="6405" max="6405" width="21" customWidth="1"/>
    <col min="6406" max="6406" width="20.109375" customWidth="1"/>
    <col min="6407" max="6407" width="42.33203125" customWidth="1"/>
    <col min="6408" max="6408" width="20.109375" customWidth="1"/>
    <col min="6655" max="6655" width="14.33203125" customWidth="1"/>
    <col min="6656" max="6656" width="45.6640625" customWidth="1"/>
    <col min="6657" max="6657" width="19.5546875" customWidth="1"/>
    <col min="6658" max="6658" width="16.6640625" customWidth="1"/>
    <col min="6659" max="6659" width="21" customWidth="1"/>
    <col min="6660" max="6660" width="16.44140625" customWidth="1"/>
    <col min="6661" max="6661" width="21" customWidth="1"/>
    <col min="6662" max="6662" width="20.109375" customWidth="1"/>
    <col min="6663" max="6663" width="42.33203125" customWidth="1"/>
    <col min="6664" max="6664" width="20.109375" customWidth="1"/>
    <col min="6911" max="6911" width="14.33203125" customWidth="1"/>
    <col min="6912" max="6912" width="45.6640625" customWidth="1"/>
    <col min="6913" max="6913" width="19.5546875" customWidth="1"/>
    <col min="6914" max="6914" width="16.6640625" customWidth="1"/>
    <col min="6915" max="6915" width="21" customWidth="1"/>
    <col min="6916" max="6916" width="16.44140625" customWidth="1"/>
    <col min="6917" max="6917" width="21" customWidth="1"/>
    <col min="6918" max="6918" width="20.109375" customWidth="1"/>
    <col min="6919" max="6919" width="42.33203125" customWidth="1"/>
    <col min="6920" max="6920" width="20.109375" customWidth="1"/>
    <col min="7167" max="7167" width="14.33203125" customWidth="1"/>
    <col min="7168" max="7168" width="45.6640625" customWidth="1"/>
    <col min="7169" max="7169" width="19.5546875" customWidth="1"/>
    <col min="7170" max="7170" width="16.6640625" customWidth="1"/>
    <col min="7171" max="7171" width="21" customWidth="1"/>
    <col min="7172" max="7172" width="16.44140625" customWidth="1"/>
    <col min="7173" max="7173" width="21" customWidth="1"/>
    <col min="7174" max="7174" width="20.109375" customWidth="1"/>
    <col min="7175" max="7175" width="42.33203125" customWidth="1"/>
    <col min="7176" max="7176" width="20.109375" customWidth="1"/>
    <col min="7423" max="7423" width="14.33203125" customWidth="1"/>
    <col min="7424" max="7424" width="45.6640625" customWidth="1"/>
    <col min="7425" max="7425" width="19.5546875" customWidth="1"/>
    <col min="7426" max="7426" width="16.6640625" customWidth="1"/>
    <col min="7427" max="7427" width="21" customWidth="1"/>
    <col min="7428" max="7428" width="16.44140625" customWidth="1"/>
    <col min="7429" max="7429" width="21" customWidth="1"/>
    <col min="7430" max="7430" width="20.109375" customWidth="1"/>
    <col min="7431" max="7431" width="42.33203125" customWidth="1"/>
    <col min="7432" max="7432" width="20.109375" customWidth="1"/>
    <col min="7679" max="7679" width="14.33203125" customWidth="1"/>
    <col min="7680" max="7680" width="45.6640625" customWidth="1"/>
    <col min="7681" max="7681" width="19.5546875" customWidth="1"/>
    <col min="7682" max="7682" width="16.6640625" customWidth="1"/>
    <col min="7683" max="7683" width="21" customWidth="1"/>
    <col min="7684" max="7684" width="16.44140625" customWidth="1"/>
    <col min="7685" max="7685" width="21" customWidth="1"/>
    <col min="7686" max="7686" width="20.109375" customWidth="1"/>
    <col min="7687" max="7687" width="42.33203125" customWidth="1"/>
    <col min="7688" max="7688" width="20.109375" customWidth="1"/>
    <col min="7935" max="7935" width="14.33203125" customWidth="1"/>
    <col min="7936" max="7936" width="45.6640625" customWidth="1"/>
    <col min="7937" max="7937" width="19.5546875" customWidth="1"/>
    <col min="7938" max="7938" width="16.6640625" customWidth="1"/>
    <col min="7939" max="7939" width="21" customWidth="1"/>
    <col min="7940" max="7940" width="16.44140625" customWidth="1"/>
    <col min="7941" max="7941" width="21" customWidth="1"/>
    <col min="7942" max="7942" width="20.109375" customWidth="1"/>
    <col min="7943" max="7943" width="42.33203125" customWidth="1"/>
    <col min="7944" max="7944" width="20.109375" customWidth="1"/>
    <col min="8191" max="8191" width="14.33203125" customWidth="1"/>
    <col min="8192" max="8192" width="45.6640625" customWidth="1"/>
    <col min="8193" max="8193" width="19.5546875" customWidth="1"/>
    <col min="8194" max="8194" width="16.6640625" customWidth="1"/>
    <col min="8195" max="8195" width="21" customWidth="1"/>
    <col min="8196" max="8196" width="16.44140625" customWidth="1"/>
    <col min="8197" max="8197" width="21" customWidth="1"/>
    <col min="8198" max="8198" width="20.109375" customWidth="1"/>
    <col min="8199" max="8199" width="42.33203125" customWidth="1"/>
    <col min="8200" max="8200" width="20.109375" customWidth="1"/>
    <col min="8447" max="8447" width="14.33203125" customWidth="1"/>
    <col min="8448" max="8448" width="45.6640625" customWidth="1"/>
    <col min="8449" max="8449" width="19.5546875" customWidth="1"/>
    <col min="8450" max="8450" width="16.6640625" customWidth="1"/>
    <col min="8451" max="8451" width="21" customWidth="1"/>
    <col min="8452" max="8452" width="16.44140625" customWidth="1"/>
    <col min="8453" max="8453" width="21" customWidth="1"/>
    <col min="8454" max="8454" width="20.109375" customWidth="1"/>
    <col min="8455" max="8455" width="42.33203125" customWidth="1"/>
    <col min="8456" max="8456" width="20.109375" customWidth="1"/>
    <col min="8703" max="8703" width="14.33203125" customWidth="1"/>
    <col min="8704" max="8704" width="45.6640625" customWidth="1"/>
    <col min="8705" max="8705" width="19.5546875" customWidth="1"/>
    <col min="8706" max="8706" width="16.6640625" customWidth="1"/>
    <col min="8707" max="8707" width="21" customWidth="1"/>
    <col min="8708" max="8708" width="16.44140625" customWidth="1"/>
    <col min="8709" max="8709" width="21" customWidth="1"/>
    <col min="8710" max="8710" width="20.109375" customWidth="1"/>
    <col min="8711" max="8711" width="42.33203125" customWidth="1"/>
    <col min="8712" max="8712" width="20.109375" customWidth="1"/>
    <col min="8959" max="8959" width="14.33203125" customWidth="1"/>
    <col min="8960" max="8960" width="45.6640625" customWidth="1"/>
    <col min="8961" max="8961" width="19.5546875" customWidth="1"/>
    <col min="8962" max="8962" width="16.6640625" customWidth="1"/>
    <col min="8963" max="8963" width="21" customWidth="1"/>
    <col min="8964" max="8964" width="16.44140625" customWidth="1"/>
    <col min="8965" max="8965" width="21" customWidth="1"/>
    <col min="8966" max="8966" width="20.109375" customWidth="1"/>
    <col min="8967" max="8967" width="42.33203125" customWidth="1"/>
    <col min="8968" max="8968" width="20.109375" customWidth="1"/>
    <col min="9215" max="9215" width="14.33203125" customWidth="1"/>
    <col min="9216" max="9216" width="45.6640625" customWidth="1"/>
    <col min="9217" max="9217" width="19.5546875" customWidth="1"/>
    <col min="9218" max="9218" width="16.6640625" customWidth="1"/>
    <col min="9219" max="9219" width="21" customWidth="1"/>
    <col min="9220" max="9220" width="16.44140625" customWidth="1"/>
    <col min="9221" max="9221" width="21" customWidth="1"/>
    <col min="9222" max="9222" width="20.109375" customWidth="1"/>
    <col min="9223" max="9223" width="42.33203125" customWidth="1"/>
    <col min="9224" max="9224" width="20.109375" customWidth="1"/>
    <col min="9471" max="9471" width="14.33203125" customWidth="1"/>
    <col min="9472" max="9472" width="45.6640625" customWidth="1"/>
    <col min="9473" max="9473" width="19.5546875" customWidth="1"/>
    <col min="9474" max="9474" width="16.6640625" customWidth="1"/>
    <col min="9475" max="9475" width="21" customWidth="1"/>
    <col min="9476" max="9476" width="16.44140625" customWidth="1"/>
    <col min="9477" max="9477" width="21" customWidth="1"/>
    <col min="9478" max="9478" width="20.109375" customWidth="1"/>
    <col min="9479" max="9479" width="42.33203125" customWidth="1"/>
    <col min="9480" max="9480" width="20.109375" customWidth="1"/>
    <col min="9727" max="9727" width="14.33203125" customWidth="1"/>
    <col min="9728" max="9728" width="45.6640625" customWidth="1"/>
    <col min="9729" max="9729" width="19.5546875" customWidth="1"/>
    <col min="9730" max="9730" width="16.6640625" customWidth="1"/>
    <col min="9731" max="9731" width="21" customWidth="1"/>
    <col min="9732" max="9732" width="16.44140625" customWidth="1"/>
    <col min="9733" max="9733" width="21" customWidth="1"/>
    <col min="9734" max="9734" width="20.109375" customWidth="1"/>
    <col min="9735" max="9735" width="42.33203125" customWidth="1"/>
    <col min="9736" max="9736" width="20.109375" customWidth="1"/>
    <col min="9983" max="9983" width="14.33203125" customWidth="1"/>
    <col min="9984" max="9984" width="45.6640625" customWidth="1"/>
    <col min="9985" max="9985" width="19.5546875" customWidth="1"/>
    <col min="9986" max="9986" width="16.6640625" customWidth="1"/>
    <col min="9987" max="9987" width="21" customWidth="1"/>
    <col min="9988" max="9988" width="16.44140625" customWidth="1"/>
    <col min="9989" max="9989" width="21" customWidth="1"/>
    <col min="9990" max="9990" width="20.109375" customWidth="1"/>
    <col min="9991" max="9991" width="42.33203125" customWidth="1"/>
    <col min="9992" max="9992" width="20.109375" customWidth="1"/>
    <col min="10239" max="10239" width="14.33203125" customWidth="1"/>
    <col min="10240" max="10240" width="45.6640625" customWidth="1"/>
    <col min="10241" max="10241" width="19.5546875" customWidth="1"/>
    <col min="10242" max="10242" width="16.6640625" customWidth="1"/>
    <col min="10243" max="10243" width="21" customWidth="1"/>
    <col min="10244" max="10244" width="16.44140625" customWidth="1"/>
    <col min="10245" max="10245" width="21" customWidth="1"/>
    <col min="10246" max="10246" width="20.109375" customWidth="1"/>
    <col min="10247" max="10247" width="42.33203125" customWidth="1"/>
    <col min="10248" max="10248" width="20.109375" customWidth="1"/>
    <col min="10495" max="10495" width="14.33203125" customWidth="1"/>
    <col min="10496" max="10496" width="45.6640625" customWidth="1"/>
    <col min="10497" max="10497" width="19.5546875" customWidth="1"/>
    <col min="10498" max="10498" width="16.6640625" customWidth="1"/>
    <col min="10499" max="10499" width="21" customWidth="1"/>
    <col min="10500" max="10500" width="16.44140625" customWidth="1"/>
    <col min="10501" max="10501" width="21" customWidth="1"/>
    <col min="10502" max="10502" width="20.109375" customWidth="1"/>
    <col min="10503" max="10503" width="42.33203125" customWidth="1"/>
    <col min="10504" max="10504" width="20.109375" customWidth="1"/>
    <col min="10751" max="10751" width="14.33203125" customWidth="1"/>
    <col min="10752" max="10752" width="45.6640625" customWidth="1"/>
    <col min="10753" max="10753" width="19.5546875" customWidth="1"/>
    <col min="10754" max="10754" width="16.6640625" customWidth="1"/>
    <col min="10755" max="10755" width="21" customWidth="1"/>
    <col min="10756" max="10756" width="16.44140625" customWidth="1"/>
    <col min="10757" max="10757" width="21" customWidth="1"/>
    <col min="10758" max="10758" width="20.109375" customWidth="1"/>
    <col min="10759" max="10759" width="42.33203125" customWidth="1"/>
    <col min="10760" max="10760" width="20.109375" customWidth="1"/>
    <col min="11007" max="11007" width="14.33203125" customWidth="1"/>
    <col min="11008" max="11008" width="45.6640625" customWidth="1"/>
    <col min="11009" max="11009" width="19.5546875" customWidth="1"/>
    <col min="11010" max="11010" width="16.6640625" customWidth="1"/>
    <col min="11011" max="11011" width="21" customWidth="1"/>
    <col min="11012" max="11012" width="16.44140625" customWidth="1"/>
    <col min="11013" max="11013" width="21" customWidth="1"/>
    <col min="11014" max="11014" width="20.109375" customWidth="1"/>
    <col min="11015" max="11015" width="42.33203125" customWidth="1"/>
    <col min="11016" max="11016" width="20.109375" customWidth="1"/>
    <col min="11263" max="11263" width="14.33203125" customWidth="1"/>
    <col min="11264" max="11264" width="45.6640625" customWidth="1"/>
    <col min="11265" max="11265" width="19.5546875" customWidth="1"/>
    <col min="11266" max="11266" width="16.6640625" customWidth="1"/>
    <col min="11267" max="11267" width="21" customWidth="1"/>
    <col min="11268" max="11268" width="16.44140625" customWidth="1"/>
    <col min="11269" max="11269" width="21" customWidth="1"/>
    <col min="11270" max="11270" width="20.109375" customWidth="1"/>
    <col min="11271" max="11271" width="42.33203125" customWidth="1"/>
    <col min="11272" max="11272" width="20.109375" customWidth="1"/>
    <col min="11519" max="11519" width="14.33203125" customWidth="1"/>
    <col min="11520" max="11520" width="45.6640625" customWidth="1"/>
    <col min="11521" max="11521" width="19.5546875" customWidth="1"/>
    <col min="11522" max="11522" width="16.6640625" customWidth="1"/>
    <col min="11523" max="11523" width="21" customWidth="1"/>
    <col min="11524" max="11524" width="16.44140625" customWidth="1"/>
    <col min="11525" max="11525" width="21" customWidth="1"/>
    <col min="11526" max="11526" width="20.109375" customWidth="1"/>
    <col min="11527" max="11527" width="42.33203125" customWidth="1"/>
    <col min="11528" max="11528" width="20.109375" customWidth="1"/>
    <col min="11775" max="11775" width="14.33203125" customWidth="1"/>
    <col min="11776" max="11776" width="45.6640625" customWidth="1"/>
    <col min="11777" max="11777" width="19.5546875" customWidth="1"/>
    <col min="11778" max="11778" width="16.6640625" customWidth="1"/>
    <col min="11779" max="11779" width="21" customWidth="1"/>
    <col min="11780" max="11780" width="16.44140625" customWidth="1"/>
    <col min="11781" max="11781" width="21" customWidth="1"/>
    <col min="11782" max="11782" width="20.109375" customWidth="1"/>
    <col min="11783" max="11783" width="42.33203125" customWidth="1"/>
    <col min="11784" max="11784" width="20.109375" customWidth="1"/>
    <col min="12031" max="12031" width="14.33203125" customWidth="1"/>
    <col min="12032" max="12032" width="45.6640625" customWidth="1"/>
    <col min="12033" max="12033" width="19.5546875" customWidth="1"/>
    <col min="12034" max="12034" width="16.6640625" customWidth="1"/>
    <col min="12035" max="12035" width="21" customWidth="1"/>
    <col min="12036" max="12036" width="16.44140625" customWidth="1"/>
    <col min="12037" max="12037" width="21" customWidth="1"/>
    <col min="12038" max="12038" width="20.109375" customWidth="1"/>
    <col min="12039" max="12039" width="42.33203125" customWidth="1"/>
    <col min="12040" max="12040" width="20.109375" customWidth="1"/>
    <col min="12287" max="12287" width="14.33203125" customWidth="1"/>
    <col min="12288" max="12288" width="45.6640625" customWidth="1"/>
    <col min="12289" max="12289" width="19.5546875" customWidth="1"/>
    <col min="12290" max="12290" width="16.6640625" customWidth="1"/>
    <col min="12291" max="12291" width="21" customWidth="1"/>
    <col min="12292" max="12292" width="16.44140625" customWidth="1"/>
    <col min="12293" max="12293" width="21" customWidth="1"/>
    <col min="12294" max="12294" width="20.109375" customWidth="1"/>
    <col min="12295" max="12295" width="42.33203125" customWidth="1"/>
    <col min="12296" max="12296" width="20.109375" customWidth="1"/>
    <col min="12543" max="12543" width="14.33203125" customWidth="1"/>
    <col min="12544" max="12544" width="45.6640625" customWidth="1"/>
    <col min="12545" max="12545" width="19.5546875" customWidth="1"/>
    <col min="12546" max="12546" width="16.6640625" customWidth="1"/>
    <col min="12547" max="12547" width="21" customWidth="1"/>
    <col min="12548" max="12548" width="16.44140625" customWidth="1"/>
    <col min="12549" max="12549" width="21" customWidth="1"/>
    <col min="12550" max="12550" width="20.109375" customWidth="1"/>
    <col min="12551" max="12551" width="42.33203125" customWidth="1"/>
    <col min="12552" max="12552" width="20.109375" customWidth="1"/>
    <col min="12799" max="12799" width="14.33203125" customWidth="1"/>
    <col min="12800" max="12800" width="45.6640625" customWidth="1"/>
    <col min="12801" max="12801" width="19.5546875" customWidth="1"/>
    <col min="12802" max="12802" width="16.6640625" customWidth="1"/>
    <col min="12803" max="12803" width="21" customWidth="1"/>
    <col min="12804" max="12804" width="16.44140625" customWidth="1"/>
    <col min="12805" max="12805" width="21" customWidth="1"/>
    <col min="12806" max="12806" width="20.109375" customWidth="1"/>
    <col min="12807" max="12807" width="42.33203125" customWidth="1"/>
    <col min="12808" max="12808" width="20.109375" customWidth="1"/>
    <col min="13055" max="13055" width="14.33203125" customWidth="1"/>
    <col min="13056" max="13056" width="45.6640625" customWidth="1"/>
    <col min="13057" max="13057" width="19.5546875" customWidth="1"/>
    <col min="13058" max="13058" width="16.6640625" customWidth="1"/>
    <col min="13059" max="13059" width="21" customWidth="1"/>
    <col min="13060" max="13060" width="16.44140625" customWidth="1"/>
    <col min="13061" max="13061" width="21" customWidth="1"/>
    <col min="13062" max="13062" width="20.109375" customWidth="1"/>
    <col min="13063" max="13063" width="42.33203125" customWidth="1"/>
    <col min="13064" max="13064" width="20.109375" customWidth="1"/>
    <col min="13311" max="13311" width="14.33203125" customWidth="1"/>
    <col min="13312" max="13312" width="45.6640625" customWidth="1"/>
    <col min="13313" max="13313" width="19.5546875" customWidth="1"/>
    <col min="13314" max="13314" width="16.6640625" customWidth="1"/>
    <col min="13315" max="13315" width="21" customWidth="1"/>
    <col min="13316" max="13316" width="16.44140625" customWidth="1"/>
    <col min="13317" max="13317" width="21" customWidth="1"/>
    <col min="13318" max="13318" width="20.109375" customWidth="1"/>
    <col min="13319" max="13319" width="42.33203125" customWidth="1"/>
    <col min="13320" max="13320" width="20.109375" customWidth="1"/>
    <col min="13567" max="13567" width="14.33203125" customWidth="1"/>
    <col min="13568" max="13568" width="45.6640625" customWidth="1"/>
    <col min="13569" max="13569" width="19.5546875" customWidth="1"/>
    <col min="13570" max="13570" width="16.6640625" customWidth="1"/>
    <col min="13571" max="13571" width="21" customWidth="1"/>
    <col min="13572" max="13572" width="16.44140625" customWidth="1"/>
    <col min="13573" max="13573" width="21" customWidth="1"/>
    <col min="13574" max="13574" width="20.109375" customWidth="1"/>
    <col min="13575" max="13575" width="42.33203125" customWidth="1"/>
    <col min="13576" max="13576" width="20.109375" customWidth="1"/>
    <col min="13823" max="13823" width="14.33203125" customWidth="1"/>
    <col min="13824" max="13824" width="45.6640625" customWidth="1"/>
    <col min="13825" max="13825" width="19.5546875" customWidth="1"/>
    <col min="13826" max="13826" width="16.6640625" customWidth="1"/>
    <col min="13827" max="13827" width="21" customWidth="1"/>
    <col min="13828" max="13828" width="16.44140625" customWidth="1"/>
    <col min="13829" max="13829" width="21" customWidth="1"/>
    <col min="13830" max="13830" width="20.109375" customWidth="1"/>
    <col min="13831" max="13831" width="42.33203125" customWidth="1"/>
    <col min="13832" max="13832" width="20.109375" customWidth="1"/>
    <col min="14079" max="14079" width="14.33203125" customWidth="1"/>
    <col min="14080" max="14080" width="45.6640625" customWidth="1"/>
    <col min="14081" max="14081" width="19.5546875" customWidth="1"/>
    <col min="14082" max="14082" width="16.6640625" customWidth="1"/>
    <col min="14083" max="14083" width="21" customWidth="1"/>
    <col min="14084" max="14084" width="16.44140625" customWidth="1"/>
    <col min="14085" max="14085" width="21" customWidth="1"/>
    <col min="14086" max="14086" width="20.109375" customWidth="1"/>
    <col min="14087" max="14087" width="42.33203125" customWidth="1"/>
    <col min="14088" max="14088" width="20.109375" customWidth="1"/>
    <col min="14335" max="14335" width="14.33203125" customWidth="1"/>
    <col min="14336" max="14336" width="45.6640625" customWidth="1"/>
    <col min="14337" max="14337" width="19.5546875" customWidth="1"/>
    <col min="14338" max="14338" width="16.6640625" customWidth="1"/>
    <col min="14339" max="14339" width="21" customWidth="1"/>
    <col min="14340" max="14340" width="16.44140625" customWidth="1"/>
    <col min="14341" max="14341" width="21" customWidth="1"/>
    <col min="14342" max="14342" width="20.109375" customWidth="1"/>
    <col min="14343" max="14343" width="42.33203125" customWidth="1"/>
    <col min="14344" max="14344" width="20.109375" customWidth="1"/>
    <col min="14591" max="14591" width="14.33203125" customWidth="1"/>
    <col min="14592" max="14592" width="45.6640625" customWidth="1"/>
    <col min="14593" max="14593" width="19.5546875" customWidth="1"/>
    <col min="14594" max="14594" width="16.6640625" customWidth="1"/>
    <col min="14595" max="14595" width="21" customWidth="1"/>
    <col min="14596" max="14596" width="16.44140625" customWidth="1"/>
    <col min="14597" max="14597" width="21" customWidth="1"/>
    <col min="14598" max="14598" width="20.109375" customWidth="1"/>
    <col min="14599" max="14599" width="42.33203125" customWidth="1"/>
    <col min="14600" max="14600" width="20.109375" customWidth="1"/>
    <col min="14847" max="14847" width="14.33203125" customWidth="1"/>
    <col min="14848" max="14848" width="45.6640625" customWidth="1"/>
    <col min="14849" max="14849" width="19.5546875" customWidth="1"/>
    <col min="14850" max="14850" width="16.6640625" customWidth="1"/>
    <col min="14851" max="14851" width="21" customWidth="1"/>
    <col min="14852" max="14852" width="16.44140625" customWidth="1"/>
    <col min="14853" max="14853" width="21" customWidth="1"/>
    <col min="14854" max="14854" width="20.109375" customWidth="1"/>
    <col min="14855" max="14855" width="42.33203125" customWidth="1"/>
    <col min="14856" max="14856" width="20.109375" customWidth="1"/>
    <col min="15103" max="15103" width="14.33203125" customWidth="1"/>
    <col min="15104" max="15104" width="45.6640625" customWidth="1"/>
    <col min="15105" max="15105" width="19.5546875" customWidth="1"/>
    <col min="15106" max="15106" width="16.6640625" customWidth="1"/>
    <col min="15107" max="15107" width="21" customWidth="1"/>
    <col min="15108" max="15108" width="16.44140625" customWidth="1"/>
    <col min="15109" max="15109" width="21" customWidth="1"/>
    <col min="15110" max="15110" width="20.109375" customWidth="1"/>
    <col min="15111" max="15111" width="42.33203125" customWidth="1"/>
    <col min="15112" max="15112" width="20.109375" customWidth="1"/>
    <col min="15359" max="15359" width="14.33203125" customWidth="1"/>
    <col min="15360" max="15360" width="45.6640625" customWidth="1"/>
    <col min="15361" max="15361" width="19.5546875" customWidth="1"/>
    <col min="15362" max="15362" width="16.6640625" customWidth="1"/>
    <col min="15363" max="15363" width="21" customWidth="1"/>
    <col min="15364" max="15364" width="16.44140625" customWidth="1"/>
    <col min="15365" max="15365" width="21" customWidth="1"/>
    <col min="15366" max="15366" width="20.109375" customWidth="1"/>
    <col min="15367" max="15367" width="42.33203125" customWidth="1"/>
    <col min="15368" max="15368" width="20.109375" customWidth="1"/>
    <col min="15615" max="15615" width="14.33203125" customWidth="1"/>
    <col min="15616" max="15616" width="45.6640625" customWidth="1"/>
    <col min="15617" max="15617" width="19.5546875" customWidth="1"/>
    <col min="15618" max="15618" width="16.6640625" customWidth="1"/>
    <col min="15619" max="15619" width="21" customWidth="1"/>
    <col min="15620" max="15620" width="16.44140625" customWidth="1"/>
    <col min="15621" max="15621" width="21" customWidth="1"/>
    <col min="15622" max="15622" width="20.109375" customWidth="1"/>
    <col min="15623" max="15623" width="42.33203125" customWidth="1"/>
    <col min="15624" max="15624" width="20.109375" customWidth="1"/>
    <col min="15871" max="15871" width="14.33203125" customWidth="1"/>
    <col min="15872" max="15872" width="45.6640625" customWidth="1"/>
    <col min="15873" max="15873" width="19.5546875" customWidth="1"/>
    <col min="15874" max="15874" width="16.6640625" customWidth="1"/>
    <col min="15875" max="15875" width="21" customWidth="1"/>
    <col min="15876" max="15876" width="16.44140625" customWidth="1"/>
    <col min="15877" max="15877" width="21" customWidth="1"/>
    <col min="15878" max="15878" width="20.109375" customWidth="1"/>
    <col min="15879" max="15879" width="42.33203125" customWidth="1"/>
    <col min="15880" max="15880" width="20.109375" customWidth="1"/>
    <col min="16127" max="16127" width="14.33203125" customWidth="1"/>
    <col min="16128" max="16128" width="45.6640625" customWidth="1"/>
    <col min="16129" max="16129" width="19.5546875" customWidth="1"/>
    <col min="16130" max="16130" width="16.6640625" customWidth="1"/>
    <col min="16131" max="16131" width="21" customWidth="1"/>
    <col min="16132" max="16132" width="16.44140625" customWidth="1"/>
    <col min="16133" max="16133" width="21" customWidth="1"/>
    <col min="16134" max="16134" width="20.109375" customWidth="1"/>
    <col min="16135" max="16135" width="42.33203125" customWidth="1"/>
    <col min="16136" max="16136" width="20.109375" customWidth="1"/>
  </cols>
  <sheetData>
    <row r="1" spans="1:11" ht="15" thickTop="1" x14ac:dyDescent="0.3">
      <c r="A1" s="122"/>
      <c r="B1" s="123"/>
      <c r="C1" s="192" t="s">
        <v>0</v>
      </c>
      <c r="D1" s="192"/>
      <c r="E1" s="192"/>
      <c r="F1" s="192"/>
      <c r="G1" s="192"/>
      <c r="H1" s="192"/>
      <c r="I1" s="192"/>
      <c r="J1" s="192"/>
      <c r="K1" s="5"/>
    </row>
    <row r="2" spans="1:11" x14ac:dyDescent="0.3">
      <c r="A2" s="124"/>
      <c r="B2" s="193" t="s">
        <v>122</v>
      </c>
      <c r="C2" s="193"/>
      <c r="D2" s="193"/>
      <c r="E2" s="193"/>
      <c r="F2" s="193"/>
      <c r="G2" s="193"/>
      <c r="H2" s="193"/>
      <c r="I2" s="193"/>
      <c r="J2" s="193"/>
      <c r="K2" s="11"/>
    </row>
    <row r="3" spans="1:11" ht="15" thickBot="1" x14ac:dyDescent="0.35">
      <c r="A3" s="194" t="s">
        <v>1</v>
      </c>
      <c r="B3" s="195"/>
      <c r="C3" s="195"/>
      <c r="D3" s="195"/>
      <c r="E3" s="195"/>
      <c r="F3" s="195"/>
      <c r="G3" s="195"/>
      <c r="H3" s="195"/>
      <c r="I3" s="195"/>
      <c r="J3" s="195"/>
      <c r="K3" s="196"/>
    </row>
    <row r="4" spans="1:11" ht="15.6" thickTop="1" thickBot="1" x14ac:dyDescent="0.35">
      <c r="A4" s="91" t="s">
        <v>68</v>
      </c>
      <c r="B4" s="97">
        <v>44019</v>
      </c>
      <c r="C4" s="91"/>
      <c r="D4" s="103"/>
      <c r="E4" s="91"/>
      <c r="F4" s="91"/>
      <c r="G4" s="91"/>
      <c r="H4" s="103"/>
      <c r="I4" s="103"/>
      <c r="J4" s="91"/>
      <c r="K4" s="1"/>
    </row>
    <row r="5" spans="1:11" ht="15" thickTop="1" x14ac:dyDescent="0.3">
      <c r="A5" s="2"/>
      <c r="B5" s="3"/>
      <c r="C5" s="4" t="s">
        <v>2</v>
      </c>
      <c r="D5" s="129">
        <f>+'[1]GPT-R-021'!$H$105</f>
        <v>2334941646</v>
      </c>
      <c r="E5" s="3"/>
      <c r="F5" s="145"/>
      <c r="G5" s="145"/>
      <c r="H5" s="125">
        <f>ROUND(D5*32%,0)</f>
        <v>747181327</v>
      </c>
      <c r="I5" s="125">
        <f>+H5+D5</f>
        <v>3082122973</v>
      </c>
      <c r="J5" s="94" t="s">
        <v>3</v>
      </c>
      <c r="K5" s="146"/>
    </row>
    <row r="6" spans="1:11" ht="33" customHeight="1" x14ac:dyDescent="0.3">
      <c r="A6" s="6"/>
      <c r="B6" s="7"/>
      <c r="C6" s="8" t="s">
        <v>4</v>
      </c>
      <c r="D6" s="9">
        <v>6.5</v>
      </c>
      <c r="E6" s="9" t="s">
        <v>5</v>
      </c>
      <c r="F6" s="147"/>
      <c r="G6" s="148"/>
      <c r="H6" s="95"/>
      <c r="I6" s="93">
        <f>ROUND(+D5*0.19*J69,0)</f>
        <v>22181946</v>
      </c>
      <c r="J6" s="95" t="s">
        <v>6</v>
      </c>
      <c r="K6" s="150"/>
    </row>
    <row r="7" spans="1:11" x14ac:dyDescent="0.3">
      <c r="A7" s="12" t="s">
        <v>7</v>
      </c>
      <c r="B7" s="10"/>
      <c r="C7" s="10"/>
      <c r="D7" s="9"/>
      <c r="E7" s="10"/>
      <c r="F7" s="149"/>
      <c r="G7" s="149"/>
      <c r="H7" s="95"/>
      <c r="I7" s="93">
        <f>+I5+I6</f>
        <v>3104304919</v>
      </c>
      <c r="J7" s="96" t="s">
        <v>8</v>
      </c>
      <c r="K7" s="150"/>
    </row>
    <row r="8" spans="1:11" x14ac:dyDescent="0.3">
      <c r="A8" s="197" t="s">
        <v>9</v>
      </c>
      <c r="B8" s="198"/>
      <c r="C8" s="198"/>
      <c r="D8" s="198"/>
      <c r="E8" s="198"/>
      <c r="F8" s="198"/>
      <c r="G8" s="198"/>
      <c r="H8" s="198"/>
      <c r="I8" s="198"/>
      <c r="J8" s="199"/>
      <c r="K8" s="13"/>
    </row>
    <row r="9" spans="1:11" ht="26.4" x14ac:dyDescent="0.3">
      <c r="A9" s="14"/>
      <c r="B9" s="104" t="s">
        <v>10</v>
      </c>
      <c r="C9" s="200" t="s">
        <v>11</v>
      </c>
      <c r="D9" s="200" t="s">
        <v>12</v>
      </c>
      <c r="E9" s="104"/>
      <c r="F9" s="104" t="s">
        <v>13</v>
      </c>
      <c r="G9" s="104" t="s">
        <v>14</v>
      </c>
      <c r="H9" s="104" t="s">
        <v>15</v>
      </c>
      <c r="I9" s="104" t="s">
        <v>16</v>
      </c>
      <c r="J9" s="15" t="s">
        <v>17</v>
      </c>
      <c r="K9" s="16" t="s">
        <v>18</v>
      </c>
    </row>
    <row r="10" spans="1:11" ht="19.5" customHeight="1" x14ac:dyDescent="0.3">
      <c r="A10" s="17"/>
      <c r="B10" s="104" t="s">
        <v>19</v>
      </c>
      <c r="C10" s="200"/>
      <c r="D10" s="200"/>
      <c r="E10" s="104" t="s">
        <v>20</v>
      </c>
      <c r="F10" s="104" t="s">
        <v>21</v>
      </c>
      <c r="G10" s="104" t="s">
        <v>22</v>
      </c>
      <c r="H10" s="104" t="s">
        <v>23</v>
      </c>
      <c r="I10" s="104" t="s">
        <v>24</v>
      </c>
      <c r="J10" s="18" t="s">
        <v>25</v>
      </c>
      <c r="K10" s="11"/>
    </row>
    <row r="11" spans="1:11" x14ac:dyDescent="0.3">
      <c r="A11" s="183" t="s">
        <v>83</v>
      </c>
      <c r="B11" s="184"/>
      <c r="C11" s="184"/>
      <c r="D11" s="184"/>
      <c r="E11" s="184"/>
      <c r="F11" s="184"/>
      <c r="G11" s="184"/>
      <c r="H11" s="184"/>
      <c r="I11" s="184"/>
      <c r="J11" s="185"/>
      <c r="K11" s="126"/>
    </row>
    <row r="12" spans="1:11" x14ac:dyDescent="0.3">
      <c r="A12" s="131"/>
      <c r="B12" s="132">
        <v>1</v>
      </c>
      <c r="C12" s="133" t="s">
        <v>99</v>
      </c>
      <c r="D12" s="132"/>
      <c r="E12" s="134"/>
      <c r="F12" s="134">
        <v>1</v>
      </c>
      <c r="G12" s="135">
        <v>4127200</v>
      </c>
      <c r="H12" s="136">
        <f>+D6</f>
        <v>6.5</v>
      </c>
      <c r="I12" s="137">
        <v>1.61</v>
      </c>
      <c r="J12" s="138">
        <f t="shared" ref="J12:J16" si="0">F12*G12*H12*I12*B12</f>
        <v>43191148</v>
      </c>
      <c r="K12" s="11"/>
    </row>
    <row r="13" spans="1:11" x14ac:dyDescent="0.3">
      <c r="A13" s="139"/>
      <c r="B13" s="20">
        <v>2</v>
      </c>
      <c r="C13" s="107" t="s">
        <v>26</v>
      </c>
      <c r="D13" s="20"/>
      <c r="E13" s="21"/>
      <c r="F13" s="21">
        <v>1</v>
      </c>
      <c r="G13" s="22">
        <v>3095400</v>
      </c>
      <c r="H13" s="23">
        <f>+D6</f>
        <v>6.5</v>
      </c>
      <c r="I13" s="137">
        <v>1.61</v>
      </c>
      <c r="J13" s="140">
        <f t="shared" si="0"/>
        <v>64786722.000000007</v>
      </c>
      <c r="K13" s="11"/>
    </row>
    <row r="14" spans="1:11" x14ac:dyDescent="0.3">
      <c r="A14" s="139"/>
      <c r="B14" s="20">
        <v>1</v>
      </c>
      <c r="C14" s="107" t="s">
        <v>57</v>
      </c>
      <c r="D14" s="20"/>
      <c r="E14" s="21"/>
      <c r="F14" s="21">
        <v>0.25</v>
      </c>
      <c r="G14" s="22">
        <v>4127200</v>
      </c>
      <c r="H14" s="23">
        <f>+D6</f>
        <v>6.5</v>
      </c>
      <c r="I14" s="137">
        <v>1.61</v>
      </c>
      <c r="J14" s="140">
        <f t="shared" si="0"/>
        <v>10797787</v>
      </c>
      <c r="K14" s="11"/>
    </row>
    <row r="15" spans="1:11" x14ac:dyDescent="0.3">
      <c r="A15" s="139"/>
      <c r="B15" s="20">
        <v>1</v>
      </c>
      <c r="C15" s="107" t="s">
        <v>59</v>
      </c>
      <c r="D15" s="20"/>
      <c r="E15" s="21"/>
      <c r="F15" s="21">
        <v>1</v>
      </c>
      <c r="G15" s="22">
        <v>2070290</v>
      </c>
      <c r="H15" s="23">
        <f>D6</f>
        <v>6.5</v>
      </c>
      <c r="I15" s="137">
        <v>1.61</v>
      </c>
      <c r="J15" s="140">
        <f t="shared" si="0"/>
        <v>21665584.850000001</v>
      </c>
      <c r="K15" s="11"/>
    </row>
    <row r="16" spans="1:11" x14ac:dyDescent="0.3">
      <c r="A16" s="139"/>
      <c r="B16" s="20">
        <v>2</v>
      </c>
      <c r="C16" s="107" t="s">
        <v>60</v>
      </c>
      <c r="D16" s="20"/>
      <c r="E16" s="21"/>
      <c r="F16" s="21">
        <v>1</v>
      </c>
      <c r="G16" s="22">
        <v>2070290</v>
      </c>
      <c r="H16" s="23">
        <f>D6</f>
        <v>6.5</v>
      </c>
      <c r="I16" s="137">
        <v>1.61</v>
      </c>
      <c r="J16" s="140">
        <f t="shared" si="0"/>
        <v>43331169.700000003</v>
      </c>
      <c r="K16" s="11"/>
    </row>
    <row r="17" spans="1:11" x14ac:dyDescent="0.3">
      <c r="A17" s="186" t="s">
        <v>84</v>
      </c>
      <c r="B17" s="187"/>
      <c r="C17" s="187"/>
      <c r="D17" s="187"/>
      <c r="E17" s="187"/>
      <c r="F17" s="187"/>
      <c r="G17" s="187"/>
      <c r="H17" s="187"/>
      <c r="I17" s="187"/>
      <c r="J17" s="188"/>
      <c r="K17" s="117"/>
    </row>
    <row r="18" spans="1:11" ht="26.4" x14ac:dyDescent="0.3">
      <c r="A18" s="139"/>
      <c r="B18" s="20">
        <v>1</v>
      </c>
      <c r="C18" s="111" t="s">
        <v>87</v>
      </c>
      <c r="D18" s="20"/>
      <c r="E18" s="21"/>
      <c r="F18" s="21">
        <v>1</v>
      </c>
      <c r="G18" s="22">
        <v>2070290</v>
      </c>
      <c r="H18" s="23">
        <f>+D6</f>
        <v>6.5</v>
      </c>
      <c r="I18" s="137">
        <v>1.61</v>
      </c>
      <c r="J18" s="140">
        <f>F18*G18*H18*I18*B18</f>
        <v>21665584.850000001</v>
      </c>
      <c r="K18" s="117"/>
    </row>
    <row r="19" spans="1:11" x14ac:dyDescent="0.3">
      <c r="A19" s="141"/>
      <c r="B19" s="20">
        <v>1</v>
      </c>
      <c r="C19" s="107" t="s">
        <v>88</v>
      </c>
      <c r="D19" s="20"/>
      <c r="E19" s="21"/>
      <c r="F19" s="21">
        <v>0.5</v>
      </c>
      <c r="G19" s="22">
        <v>2070290</v>
      </c>
      <c r="H19" s="23">
        <f>+D6</f>
        <v>6.5</v>
      </c>
      <c r="I19" s="137">
        <v>1.61</v>
      </c>
      <c r="J19" s="140">
        <f>F19*G19*I19*H19</f>
        <v>10832792.425000001</v>
      </c>
      <c r="K19" s="117"/>
    </row>
    <row r="20" spans="1:11" x14ac:dyDescent="0.3">
      <c r="A20" s="141"/>
      <c r="B20" s="92">
        <v>1</v>
      </c>
      <c r="C20" s="113" t="s">
        <v>61</v>
      </c>
      <c r="D20" s="113"/>
      <c r="E20" s="113"/>
      <c r="F20" s="118">
        <v>0.4</v>
      </c>
      <c r="G20" s="22">
        <v>2070290</v>
      </c>
      <c r="H20" s="23">
        <f>D6</f>
        <v>6.5</v>
      </c>
      <c r="I20" s="137">
        <v>1.61</v>
      </c>
      <c r="J20" s="140">
        <f>F20*G20*H20*I20*B20</f>
        <v>8666233.9400000013</v>
      </c>
      <c r="K20" s="117"/>
    </row>
    <row r="21" spans="1:11" x14ac:dyDescent="0.3">
      <c r="A21" s="189" t="s">
        <v>27</v>
      </c>
      <c r="B21" s="190"/>
      <c r="C21" s="190"/>
      <c r="D21" s="190"/>
      <c r="E21" s="190"/>
      <c r="F21" s="190"/>
      <c r="G21" s="190"/>
      <c r="H21" s="190"/>
      <c r="I21" s="190"/>
      <c r="J21" s="191"/>
      <c r="K21" s="117"/>
    </row>
    <row r="22" spans="1:11" x14ac:dyDescent="0.3">
      <c r="A22" s="139"/>
      <c r="B22" s="20">
        <v>1</v>
      </c>
      <c r="C22" s="107" t="s">
        <v>62</v>
      </c>
      <c r="D22" s="107"/>
      <c r="E22" s="28"/>
      <c r="F22" s="28">
        <v>0.1</v>
      </c>
      <c r="G22" s="22">
        <v>3095400</v>
      </c>
      <c r="H22" s="23">
        <f>+D6</f>
        <v>6.5</v>
      </c>
      <c r="I22" s="137">
        <v>1.61</v>
      </c>
      <c r="J22" s="140">
        <f>F22*G22*H22*I22*B22</f>
        <v>3239336.1</v>
      </c>
      <c r="K22" s="117"/>
    </row>
    <row r="23" spans="1:11" x14ac:dyDescent="0.3">
      <c r="A23" s="139"/>
      <c r="B23" s="20">
        <v>1</v>
      </c>
      <c r="C23" s="107" t="s">
        <v>63</v>
      </c>
      <c r="D23" s="107"/>
      <c r="E23" s="28"/>
      <c r="F23" s="28">
        <v>1</v>
      </c>
      <c r="G23" s="22">
        <v>877803</v>
      </c>
      <c r="H23" s="23">
        <f>+D6</f>
        <v>6.5</v>
      </c>
      <c r="I23" s="24">
        <v>1.8</v>
      </c>
      <c r="J23" s="140">
        <f>F23*G23*H23*I23*B23</f>
        <v>10270295.1</v>
      </c>
      <c r="K23" s="117"/>
    </row>
    <row r="24" spans="1:11" x14ac:dyDescent="0.3">
      <c r="A24" s="139"/>
      <c r="B24" s="25">
        <v>1</v>
      </c>
      <c r="C24" s="107" t="s">
        <v>58</v>
      </c>
      <c r="D24" s="107"/>
      <c r="E24" s="26"/>
      <c r="F24" s="27">
        <v>1</v>
      </c>
      <c r="G24" s="22">
        <v>877803</v>
      </c>
      <c r="H24" s="23">
        <f>D6</f>
        <v>6.5</v>
      </c>
      <c r="I24" s="24">
        <v>1.8</v>
      </c>
      <c r="J24" s="140">
        <f>F24*G24*H24*I24*B24</f>
        <v>10270295.1</v>
      </c>
      <c r="K24" s="117"/>
    </row>
    <row r="25" spans="1:11" ht="13.5" customHeight="1" x14ac:dyDescent="0.3">
      <c r="A25" s="139"/>
      <c r="B25" s="20">
        <v>1</v>
      </c>
      <c r="C25" s="208" t="s">
        <v>28</v>
      </c>
      <c r="D25" s="208"/>
      <c r="E25" s="28"/>
      <c r="F25" s="28">
        <v>1</v>
      </c>
      <c r="G25" s="22">
        <v>877803</v>
      </c>
      <c r="H25" s="23">
        <f>+D6</f>
        <v>6.5</v>
      </c>
      <c r="I25" s="24">
        <v>1.8</v>
      </c>
      <c r="J25" s="140">
        <f>F25*G25*H25*I25*B25</f>
        <v>10270295.1</v>
      </c>
      <c r="K25" s="117"/>
    </row>
    <row r="26" spans="1:11" x14ac:dyDescent="0.3">
      <c r="A26" s="209" t="s">
        <v>29</v>
      </c>
      <c r="B26" s="210"/>
      <c r="C26" s="210"/>
      <c r="D26" s="210"/>
      <c r="E26" s="210"/>
      <c r="F26" s="210"/>
      <c r="G26" s="210"/>
      <c r="H26" s="210"/>
      <c r="I26" s="210"/>
      <c r="J26" s="130">
        <f>SUM(J12:J25)</f>
        <v>258987244.16499999</v>
      </c>
      <c r="K26" s="30">
        <f>J26/D5</f>
        <v>0.11091807994802454</v>
      </c>
    </row>
    <row r="27" spans="1:11" x14ac:dyDescent="0.3">
      <c r="A27" s="211"/>
      <c r="B27" s="212"/>
      <c r="C27" s="212"/>
      <c r="D27" s="212"/>
      <c r="E27" s="212"/>
      <c r="F27" s="212"/>
      <c r="G27" s="212"/>
      <c r="H27" s="212"/>
      <c r="I27" s="212"/>
      <c r="J27" s="212"/>
      <c r="K27" s="213"/>
    </row>
    <row r="28" spans="1:11" x14ac:dyDescent="0.3">
      <c r="A28" s="217" t="s">
        <v>69</v>
      </c>
      <c r="B28" s="218"/>
      <c r="C28" s="218"/>
      <c r="D28" s="218"/>
      <c r="E28" s="218"/>
      <c r="F28" s="218"/>
      <c r="G28" s="218"/>
      <c r="H28" s="218"/>
      <c r="I28" s="218"/>
      <c r="J28" s="219"/>
      <c r="K28" s="127"/>
    </row>
    <row r="29" spans="1:11" x14ac:dyDescent="0.3">
      <c r="A29" s="220" t="s">
        <v>70</v>
      </c>
      <c r="B29" s="221"/>
      <c r="C29" s="221"/>
      <c r="D29" s="119"/>
      <c r="E29" s="119"/>
      <c r="F29" s="120" t="s">
        <v>71</v>
      </c>
      <c r="G29" s="120" t="s">
        <v>72</v>
      </c>
      <c r="H29" s="120" t="s">
        <v>73</v>
      </c>
      <c r="I29" s="120" t="s">
        <v>74</v>
      </c>
      <c r="J29" s="120" t="s">
        <v>75</v>
      </c>
      <c r="K29" s="30"/>
    </row>
    <row r="30" spans="1:11" x14ac:dyDescent="0.3">
      <c r="A30" s="181" t="s">
        <v>91</v>
      </c>
      <c r="B30" s="182"/>
      <c r="C30" s="182"/>
      <c r="D30" s="119"/>
      <c r="E30" s="119"/>
      <c r="F30" s="121"/>
      <c r="G30" s="121"/>
      <c r="H30" s="121"/>
      <c r="I30" s="121"/>
      <c r="J30" s="121"/>
      <c r="K30" s="30"/>
    </row>
    <row r="31" spans="1:11" x14ac:dyDescent="0.3">
      <c r="A31" s="112" t="s">
        <v>120</v>
      </c>
      <c r="B31" s="113"/>
      <c r="C31" s="113"/>
      <c r="D31" s="113"/>
      <c r="E31" s="113"/>
      <c r="F31" s="114">
        <v>1</v>
      </c>
      <c r="G31" s="114" t="s">
        <v>76</v>
      </c>
      <c r="H31" s="114">
        <f>+D6</f>
        <v>6.5</v>
      </c>
      <c r="I31" s="115">
        <v>1500000</v>
      </c>
      <c r="J31" s="144">
        <f>F31*H31*I31</f>
        <v>9750000</v>
      </c>
      <c r="K31" s="30"/>
    </row>
    <row r="32" spans="1:11" x14ac:dyDescent="0.3">
      <c r="A32" s="112" t="s">
        <v>81</v>
      </c>
      <c r="B32" s="113"/>
      <c r="C32" s="113"/>
      <c r="D32" s="113"/>
      <c r="E32" s="113"/>
      <c r="F32" s="114">
        <v>1</v>
      </c>
      <c r="G32" s="114" t="s">
        <v>77</v>
      </c>
      <c r="H32" s="114">
        <v>1</v>
      </c>
      <c r="I32" s="115">
        <v>1069159</v>
      </c>
      <c r="J32" s="144">
        <f t="shared" ref="J32:J34" si="1">F32*H32*I32</f>
        <v>1069159</v>
      </c>
      <c r="K32" s="30"/>
    </row>
    <row r="33" spans="1:11" x14ac:dyDescent="0.3">
      <c r="A33" s="112" t="s">
        <v>82</v>
      </c>
      <c r="B33" s="113"/>
      <c r="C33" s="113"/>
      <c r="D33" s="113"/>
      <c r="E33" s="113"/>
      <c r="F33" s="114">
        <v>1</v>
      </c>
      <c r="G33" s="114" t="s">
        <v>78</v>
      </c>
      <c r="H33" s="114">
        <v>3</v>
      </c>
      <c r="I33" s="115">
        <v>555924</v>
      </c>
      <c r="J33" s="144">
        <f t="shared" si="1"/>
        <v>1667772</v>
      </c>
      <c r="K33" s="30"/>
    </row>
    <row r="34" spans="1:11" x14ac:dyDescent="0.3">
      <c r="A34" s="112" t="s">
        <v>90</v>
      </c>
      <c r="B34" s="113"/>
      <c r="C34" s="113"/>
      <c r="D34" s="113"/>
      <c r="E34" s="113"/>
      <c r="F34" s="114">
        <v>1</v>
      </c>
      <c r="G34" s="114" t="s">
        <v>79</v>
      </c>
      <c r="H34" s="114">
        <f>1*6*H31</f>
        <v>39</v>
      </c>
      <c r="I34" s="115">
        <v>16733</v>
      </c>
      <c r="J34" s="144">
        <f t="shared" si="1"/>
        <v>652587</v>
      </c>
      <c r="K34" s="30"/>
    </row>
    <row r="35" spans="1:11" x14ac:dyDescent="0.3">
      <c r="A35" s="222" t="s">
        <v>80</v>
      </c>
      <c r="B35" s="223"/>
      <c r="C35" s="223"/>
      <c r="D35" s="223"/>
      <c r="E35" s="223"/>
      <c r="F35" s="223"/>
      <c r="G35" s="223"/>
      <c r="H35" s="223"/>
      <c r="I35" s="223"/>
      <c r="J35" s="116">
        <f>SUM(J31:J34)</f>
        <v>13139518</v>
      </c>
      <c r="K35" s="128">
        <f>J35/D5</f>
        <v>5.6273432025632734E-3</v>
      </c>
    </row>
    <row r="36" spans="1:11" x14ac:dyDescent="0.3">
      <c r="A36" s="108"/>
      <c r="B36" s="109"/>
      <c r="C36" s="109"/>
      <c r="D36" s="109"/>
      <c r="E36" s="109"/>
      <c r="F36" s="109"/>
      <c r="G36" s="109"/>
      <c r="H36" s="109"/>
      <c r="I36" s="109"/>
      <c r="J36" s="109"/>
      <c r="K36" s="110"/>
    </row>
    <row r="37" spans="1:11" x14ac:dyDescent="0.3">
      <c r="A37" s="220" t="s">
        <v>70</v>
      </c>
      <c r="B37" s="221"/>
      <c r="C37" s="221"/>
      <c r="D37" s="119"/>
      <c r="E37" s="119"/>
      <c r="F37" s="120" t="s">
        <v>94</v>
      </c>
      <c r="G37" s="120"/>
      <c r="H37" s="120"/>
      <c r="I37" s="120"/>
      <c r="J37" s="120" t="s">
        <v>75</v>
      </c>
      <c r="K37" s="30"/>
    </row>
    <row r="38" spans="1:11" x14ac:dyDescent="0.3">
      <c r="A38" s="181" t="s">
        <v>92</v>
      </c>
      <c r="B38" s="182"/>
      <c r="C38" s="182"/>
      <c r="D38" s="119"/>
      <c r="E38" s="119"/>
      <c r="F38" s="157"/>
      <c r="G38" s="157"/>
      <c r="H38" s="157"/>
      <c r="I38" s="157"/>
      <c r="J38" s="157"/>
      <c r="K38" s="30"/>
    </row>
    <row r="39" spans="1:11" x14ac:dyDescent="0.3">
      <c r="A39" s="155" t="s">
        <v>93</v>
      </c>
      <c r="B39" s="156"/>
      <c r="C39" s="156"/>
      <c r="D39" s="156"/>
      <c r="E39" s="156"/>
      <c r="F39" s="114">
        <f>+PGIO!H20</f>
        <v>8166662.4999999991</v>
      </c>
      <c r="G39" s="114"/>
      <c r="H39" s="114"/>
      <c r="I39" s="115"/>
      <c r="J39" s="144">
        <f>+F39</f>
        <v>8166662.4999999991</v>
      </c>
      <c r="K39" s="30"/>
    </row>
    <row r="40" spans="1:11" x14ac:dyDescent="0.3">
      <c r="A40" s="222" t="s">
        <v>80</v>
      </c>
      <c r="B40" s="223"/>
      <c r="C40" s="223"/>
      <c r="D40" s="223"/>
      <c r="E40" s="223"/>
      <c r="F40" s="223"/>
      <c r="G40" s="223"/>
      <c r="H40" s="223"/>
      <c r="I40" s="223"/>
      <c r="J40" s="116">
        <f>SUM(J39:J39)</f>
        <v>8166662.4999999991</v>
      </c>
      <c r="K40" s="128">
        <f>$J$40/D5</f>
        <v>3.4975874082293873E-3</v>
      </c>
    </row>
    <row r="41" spans="1:11" x14ac:dyDescent="0.3">
      <c r="A41" s="152"/>
      <c r="B41" s="153"/>
      <c r="C41" s="153"/>
      <c r="D41" s="153"/>
      <c r="E41" s="153"/>
      <c r="F41" s="153"/>
      <c r="G41" s="153"/>
      <c r="H41" s="153"/>
      <c r="I41" s="153"/>
      <c r="J41" s="153"/>
      <c r="K41" s="154"/>
    </row>
    <row r="42" spans="1:11" ht="44.25" customHeight="1" x14ac:dyDescent="0.3">
      <c r="A42" s="197" t="s">
        <v>85</v>
      </c>
      <c r="B42" s="198"/>
      <c r="C42" s="198"/>
      <c r="D42" s="104" t="s">
        <v>30</v>
      </c>
      <c r="E42" s="104" t="s">
        <v>13</v>
      </c>
      <c r="F42" s="104" t="s">
        <v>31</v>
      </c>
      <c r="G42" s="104" t="s">
        <v>32</v>
      </c>
      <c r="H42" s="104" t="s">
        <v>15</v>
      </c>
      <c r="I42" s="142" t="s">
        <v>86</v>
      </c>
      <c r="J42" s="15" t="s">
        <v>33</v>
      </c>
      <c r="K42" s="31"/>
    </row>
    <row r="43" spans="1:11" x14ac:dyDescent="0.3">
      <c r="A43" s="203" t="s">
        <v>34</v>
      </c>
      <c r="B43" s="204"/>
      <c r="C43" s="214"/>
      <c r="D43" s="111"/>
      <c r="E43" s="32"/>
      <c r="F43" s="33">
        <v>497791.59143621702</v>
      </c>
      <c r="G43" s="111"/>
      <c r="H43" s="23">
        <f>+D6</f>
        <v>6.5</v>
      </c>
      <c r="I43" s="34"/>
      <c r="J43" s="35">
        <f>F43*H43</f>
        <v>3235645.3443354107</v>
      </c>
      <c r="K43" s="36"/>
    </row>
    <row r="44" spans="1:11" ht="15" customHeight="1" x14ac:dyDescent="0.3">
      <c r="A44" s="203" t="s">
        <v>35</v>
      </c>
      <c r="B44" s="204"/>
      <c r="C44" s="214"/>
      <c r="D44" s="111"/>
      <c r="E44" s="37"/>
      <c r="F44" s="38"/>
      <c r="G44" s="39"/>
      <c r="H44" s="40"/>
      <c r="I44" s="143">
        <v>3.0000000000000001E-3</v>
      </c>
      <c r="J44" s="35">
        <f>+D5*I44</f>
        <v>7004824.9380000001</v>
      </c>
      <c r="K44" s="36"/>
    </row>
    <row r="45" spans="1:11" x14ac:dyDescent="0.3">
      <c r="A45" s="215" t="s">
        <v>36</v>
      </c>
      <c r="B45" s="216"/>
      <c r="C45" s="216"/>
      <c r="D45" s="216"/>
      <c r="E45" s="216"/>
      <c r="F45" s="216"/>
      <c r="G45" s="216"/>
      <c r="H45" s="216"/>
      <c r="I45" s="216"/>
      <c r="J45" s="116">
        <f>SUM(J43:J44)</f>
        <v>10240470.282335412</v>
      </c>
      <c r="K45" s="128">
        <f>$J$45/D5</f>
        <v>4.3857499821798171E-3</v>
      </c>
    </row>
    <row r="46" spans="1:11" x14ac:dyDescent="0.3">
      <c r="A46" s="158"/>
      <c r="B46" s="159"/>
      <c r="C46" s="159"/>
      <c r="D46" s="159"/>
      <c r="E46" s="159"/>
      <c r="F46" s="151"/>
      <c r="G46" s="159"/>
      <c r="H46" s="151"/>
      <c r="I46" s="159"/>
      <c r="J46" s="41"/>
      <c r="K46" s="31"/>
    </row>
    <row r="47" spans="1:11" ht="29.25" customHeight="1" x14ac:dyDescent="0.3">
      <c r="A47" s="205" t="s">
        <v>95</v>
      </c>
      <c r="B47" s="206"/>
      <c r="C47" s="206"/>
      <c r="D47" s="206"/>
      <c r="E47" s="207"/>
      <c r="F47" s="104"/>
      <c r="G47" s="42"/>
      <c r="H47" s="104" t="s">
        <v>37</v>
      </c>
      <c r="I47" s="43"/>
      <c r="J47" s="15" t="s">
        <v>33</v>
      </c>
      <c r="K47" s="19"/>
    </row>
    <row r="48" spans="1:11" x14ac:dyDescent="0.3">
      <c r="A48" s="234" t="s">
        <v>38</v>
      </c>
      <c r="B48" s="235"/>
      <c r="C48" s="235"/>
      <c r="D48" s="235"/>
      <c r="E48" s="236"/>
      <c r="F48" s="44">
        <f>210737*15</f>
        <v>3161055</v>
      </c>
      <c r="G48" s="45"/>
      <c r="H48" s="46">
        <f>CEILING(D6,4)/4</f>
        <v>2</v>
      </c>
      <c r="I48" s="45"/>
      <c r="J48" s="47">
        <f>+F48*H48</f>
        <v>6322110</v>
      </c>
      <c r="K48" s="19"/>
    </row>
    <row r="49" spans="1:11" x14ac:dyDescent="0.3">
      <c r="A49" s="237" t="s">
        <v>39</v>
      </c>
      <c r="B49" s="238"/>
      <c r="C49" s="238"/>
      <c r="D49" s="238"/>
      <c r="E49" s="113"/>
      <c r="F49" s="113"/>
      <c r="G49" s="113"/>
      <c r="H49" s="113"/>
      <c r="I49" s="26"/>
      <c r="J49" s="29">
        <f>J48</f>
        <v>6322110</v>
      </c>
      <c r="K49" s="30">
        <f>+J49/D5</f>
        <v>2.707609421773104E-3</v>
      </c>
    </row>
    <row r="50" spans="1:11" x14ac:dyDescent="0.3">
      <c r="A50" s="211"/>
      <c r="B50" s="212"/>
      <c r="C50" s="212"/>
      <c r="D50" s="212"/>
      <c r="E50" s="212"/>
      <c r="F50" s="212"/>
      <c r="G50" s="212"/>
      <c r="H50" s="212"/>
      <c r="I50" s="212"/>
      <c r="J50" s="212"/>
      <c r="K50" s="213"/>
    </row>
    <row r="51" spans="1:11" x14ac:dyDescent="0.3">
      <c r="A51" s="197" t="s">
        <v>96</v>
      </c>
      <c r="B51" s="198"/>
      <c r="C51" s="198"/>
      <c r="D51" s="198"/>
      <c r="E51" s="198"/>
      <c r="F51" s="198"/>
      <c r="G51" s="198"/>
      <c r="H51" s="198"/>
      <c r="I51" s="198"/>
      <c r="J51" s="199"/>
      <c r="K51" s="19"/>
    </row>
    <row r="52" spans="1:11" x14ac:dyDescent="0.3">
      <c r="A52" s="239" t="s">
        <v>97</v>
      </c>
      <c r="B52" s="240"/>
      <c r="C52" s="240"/>
      <c r="D52" s="240"/>
      <c r="E52" s="240"/>
      <c r="F52" s="240"/>
      <c r="G52" s="240"/>
      <c r="H52" s="240"/>
      <c r="I52" s="240"/>
      <c r="J52" s="240"/>
      <c r="K52" s="19"/>
    </row>
    <row r="53" spans="1:11" x14ac:dyDescent="0.3">
      <c r="A53" s="241" t="s">
        <v>40</v>
      </c>
      <c r="B53" s="242"/>
      <c r="C53" s="242"/>
      <c r="D53" s="242"/>
      <c r="E53" s="242"/>
      <c r="F53" s="242"/>
      <c r="G53" s="242"/>
      <c r="H53" s="243"/>
      <c r="I53" s="48"/>
      <c r="J53" s="49" t="s">
        <v>33</v>
      </c>
      <c r="K53" s="19"/>
    </row>
    <row r="54" spans="1:11" x14ac:dyDescent="0.3">
      <c r="A54" s="201" t="s">
        <v>41</v>
      </c>
      <c r="B54" s="202"/>
      <c r="C54" s="202"/>
      <c r="D54" s="202"/>
      <c r="E54" s="202"/>
      <c r="F54" s="202"/>
      <c r="G54" s="202"/>
      <c r="H54" s="244"/>
      <c r="I54" s="50">
        <v>0.02</v>
      </c>
      <c r="J54" s="51">
        <f>I$5*I54</f>
        <v>61642459.460000001</v>
      </c>
      <c r="K54" s="19"/>
    </row>
    <row r="55" spans="1:11" x14ac:dyDescent="0.3">
      <c r="A55" s="201" t="s">
        <v>42</v>
      </c>
      <c r="B55" s="202"/>
      <c r="C55" s="202"/>
      <c r="D55" s="202"/>
      <c r="E55" s="202"/>
      <c r="F55" s="202"/>
      <c r="G55" s="202"/>
      <c r="H55" s="202"/>
      <c r="I55" s="52">
        <v>0.01</v>
      </c>
      <c r="J55" s="51">
        <f>I$5*I55</f>
        <v>30821229.73</v>
      </c>
      <c r="K55" s="31"/>
    </row>
    <row r="56" spans="1:11" x14ac:dyDescent="0.3">
      <c r="A56" s="201" t="s">
        <v>43</v>
      </c>
      <c r="B56" s="202"/>
      <c r="C56" s="202"/>
      <c r="D56" s="202"/>
      <c r="E56" s="202"/>
      <c r="F56" s="202"/>
      <c r="G56" s="202"/>
      <c r="H56" s="202"/>
      <c r="I56" s="52">
        <v>0.02</v>
      </c>
      <c r="J56" s="51">
        <f>I$5*I56</f>
        <v>61642459.460000001</v>
      </c>
      <c r="K56" s="31"/>
    </row>
    <row r="57" spans="1:11" x14ac:dyDescent="0.3">
      <c r="A57" s="203" t="s">
        <v>44</v>
      </c>
      <c r="B57" s="204"/>
      <c r="C57" s="204"/>
      <c r="D57" s="204"/>
      <c r="E57" s="204"/>
      <c r="F57" s="204"/>
      <c r="G57" s="204"/>
      <c r="H57" s="204"/>
      <c r="I57" s="53">
        <v>0.05</v>
      </c>
      <c r="J57" s="51">
        <f>I$5*I57</f>
        <v>154106148.65000001</v>
      </c>
      <c r="K57" s="19"/>
    </row>
    <row r="58" spans="1:11" x14ac:dyDescent="0.3">
      <c r="A58" s="203" t="s">
        <v>45</v>
      </c>
      <c r="B58" s="204"/>
      <c r="C58" s="204"/>
      <c r="D58" s="204"/>
      <c r="E58" s="204"/>
      <c r="F58" s="204"/>
      <c r="G58" s="204"/>
      <c r="H58" s="229"/>
      <c r="I58" s="54">
        <v>4.0000000000000001E-3</v>
      </c>
      <c r="J58" s="51">
        <f>I$5*I58</f>
        <v>12328491.892000001</v>
      </c>
      <c r="K58" s="19"/>
    </row>
    <row r="59" spans="1:11" x14ac:dyDescent="0.3">
      <c r="A59" s="215" t="s">
        <v>46</v>
      </c>
      <c r="B59" s="216"/>
      <c r="C59" s="216"/>
      <c r="D59" s="216"/>
      <c r="E59" s="216"/>
      <c r="F59" s="216"/>
      <c r="G59" s="216"/>
      <c r="H59" s="216"/>
      <c r="I59" s="216"/>
      <c r="J59" s="55">
        <f>SUM(J54:J58)</f>
        <v>320540789.19200003</v>
      </c>
      <c r="K59" s="56">
        <f>J59/D5</f>
        <v>0.13728000001247143</v>
      </c>
    </row>
    <row r="60" spans="1:11" x14ac:dyDescent="0.3">
      <c r="A60" s="211"/>
      <c r="B60" s="212"/>
      <c r="C60" s="212"/>
      <c r="D60" s="212"/>
      <c r="E60" s="212"/>
      <c r="F60" s="212"/>
      <c r="G60" s="212"/>
      <c r="H60" s="212"/>
      <c r="I60" s="212"/>
      <c r="J60" s="212"/>
      <c r="K60" s="213"/>
    </row>
    <row r="61" spans="1:11" x14ac:dyDescent="0.3">
      <c r="A61" s="230" t="s">
        <v>98</v>
      </c>
      <c r="B61" s="231"/>
      <c r="C61" s="231"/>
      <c r="D61" s="231"/>
      <c r="E61" s="231"/>
      <c r="F61" s="231"/>
      <c r="G61" s="231"/>
      <c r="H61" s="231"/>
      <c r="I61" s="231"/>
      <c r="J61" s="231"/>
      <c r="K61" s="19"/>
    </row>
    <row r="62" spans="1:11" x14ac:dyDescent="0.3">
      <c r="A62" s="232" t="s">
        <v>40</v>
      </c>
      <c r="B62" s="233"/>
      <c r="C62" s="233"/>
      <c r="D62" s="57" t="s">
        <v>47</v>
      </c>
      <c r="E62" s="104"/>
      <c r="F62" s="57"/>
      <c r="G62" s="104"/>
      <c r="H62" s="57"/>
      <c r="I62" s="104" t="s">
        <v>48</v>
      </c>
      <c r="J62" s="58" t="s">
        <v>33</v>
      </c>
      <c r="K62" s="19"/>
    </row>
    <row r="63" spans="1:11" x14ac:dyDescent="0.3">
      <c r="A63" s="59"/>
      <c r="B63" s="60"/>
      <c r="C63" s="60"/>
      <c r="D63" s="60"/>
      <c r="E63" s="61"/>
      <c r="F63" s="61"/>
      <c r="G63" s="62"/>
      <c r="H63" s="62"/>
      <c r="I63" s="62"/>
      <c r="J63" s="63"/>
      <c r="K63" s="19"/>
    </row>
    <row r="64" spans="1:11" x14ac:dyDescent="0.3">
      <c r="A64" s="225" t="s">
        <v>49</v>
      </c>
      <c r="B64" s="226"/>
      <c r="C64" s="226"/>
      <c r="D64" s="64">
        <f>+I7</f>
        <v>3104304919</v>
      </c>
      <c r="E64" s="65"/>
      <c r="F64" s="65"/>
      <c r="G64" s="66"/>
      <c r="H64" s="67"/>
      <c r="I64" s="68">
        <v>4.1999999999999997E-3</v>
      </c>
      <c r="J64" s="69">
        <f>+D64*I64</f>
        <v>13038080.659799999</v>
      </c>
      <c r="K64" s="19"/>
    </row>
    <row r="65" spans="1:11" x14ac:dyDescent="0.3">
      <c r="A65" s="227" t="s">
        <v>50</v>
      </c>
      <c r="B65" s="228"/>
      <c r="C65" s="228"/>
      <c r="D65" s="228"/>
      <c r="E65" s="228"/>
      <c r="F65" s="228"/>
      <c r="G65" s="228"/>
      <c r="H65" s="228"/>
      <c r="I65" s="228"/>
      <c r="J65" s="70">
        <f>SUM(J64:J64)</f>
        <v>13038080.659799999</v>
      </c>
      <c r="K65" s="71">
        <f>J65/D5</f>
        <v>5.5839000011566019E-3</v>
      </c>
    </row>
    <row r="66" spans="1:11" x14ac:dyDescent="0.3">
      <c r="A66" s="59"/>
      <c r="B66" s="60"/>
      <c r="C66" s="60"/>
      <c r="D66" s="60"/>
      <c r="E66" s="61"/>
      <c r="F66" s="61"/>
      <c r="G66" s="62"/>
      <c r="H66" s="62"/>
      <c r="I66" s="62"/>
      <c r="J66" s="63"/>
      <c r="K66" s="19"/>
    </row>
    <row r="67" spans="1:11" x14ac:dyDescent="0.3">
      <c r="A67" s="105" t="s">
        <v>51</v>
      </c>
      <c r="B67" s="106"/>
      <c r="C67" s="106"/>
      <c r="D67" s="106"/>
      <c r="E67" s="72"/>
      <c r="F67" s="72"/>
      <c r="G67" s="73"/>
      <c r="H67" s="73"/>
      <c r="I67" s="74"/>
      <c r="J67" s="75">
        <f>K26+K35+K40+K45+K49+K59+K65</f>
        <v>0.27000026997639814</v>
      </c>
      <c r="K67" s="76"/>
    </row>
    <row r="68" spans="1:11" x14ac:dyDescent="0.3">
      <c r="A68" s="105" t="s">
        <v>52</v>
      </c>
      <c r="B68" s="106"/>
      <c r="C68" s="106"/>
      <c r="D68" s="106"/>
      <c r="E68" s="77"/>
      <c r="F68" s="77"/>
      <c r="G68" s="77"/>
      <c r="H68" s="77"/>
      <c r="I68" s="78"/>
      <c r="J68" s="79">
        <v>0</v>
      </c>
      <c r="K68" s="19"/>
    </row>
    <row r="69" spans="1:11" x14ac:dyDescent="0.3">
      <c r="A69" s="105" t="s">
        <v>53</v>
      </c>
      <c r="B69" s="106"/>
      <c r="C69" s="106"/>
      <c r="D69" s="106"/>
      <c r="E69" s="77"/>
      <c r="F69" s="77"/>
      <c r="G69" s="77"/>
      <c r="H69" s="77"/>
      <c r="I69" s="78"/>
      <c r="J69" s="79">
        <v>0.05</v>
      </c>
      <c r="K69" s="31"/>
    </row>
    <row r="70" spans="1:11" ht="14.25" customHeight="1" thickBot="1" x14ac:dyDescent="0.35">
      <c r="A70" s="59"/>
      <c r="B70" s="60"/>
      <c r="C70" s="60"/>
      <c r="D70" s="60"/>
      <c r="E70" s="61"/>
      <c r="F70" s="61"/>
      <c r="G70" s="62"/>
      <c r="H70" s="62"/>
      <c r="I70" s="62"/>
      <c r="J70" s="63"/>
      <c r="K70" s="19"/>
    </row>
    <row r="71" spans="1:11" ht="15" thickBot="1" x14ac:dyDescent="0.35">
      <c r="A71" s="80" t="s">
        <v>54</v>
      </c>
      <c r="B71" s="81"/>
      <c r="C71" s="81"/>
      <c r="D71" s="81"/>
      <c r="E71" s="82"/>
      <c r="F71" s="82"/>
      <c r="G71" s="82"/>
      <c r="H71" s="82"/>
      <c r="I71" s="82"/>
      <c r="J71" s="83">
        <f>+J67+J68+J69</f>
        <v>0.32000026997639813</v>
      </c>
      <c r="K71" s="84"/>
    </row>
    <row r="72" spans="1:11" ht="15" customHeight="1" thickTop="1" x14ac:dyDescent="0.3">
      <c r="A72" s="1"/>
      <c r="B72" s="1"/>
      <c r="C72" s="1"/>
      <c r="D72" s="1"/>
      <c r="E72" s="1"/>
      <c r="F72" s="1"/>
      <c r="G72" s="1"/>
      <c r="H72" s="1"/>
      <c r="I72" s="1"/>
      <c r="J72" s="1"/>
      <c r="K72" s="1"/>
    </row>
    <row r="73" spans="1:11" x14ac:dyDescent="0.3">
      <c r="A73" s="85" t="s">
        <v>64</v>
      </c>
      <c r="B73" s="85" t="s">
        <v>65</v>
      </c>
      <c r="C73" s="86"/>
      <c r="D73" s="1"/>
      <c r="E73" s="1"/>
      <c r="F73" s="1"/>
      <c r="G73" s="1"/>
      <c r="H73" s="1"/>
      <c r="I73" s="87">
        <f>+J26+J49+J59+J65</f>
        <v>598888224.01680005</v>
      </c>
      <c r="J73" s="87">
        <v>49483156</v>
      </c>
      <c r="K73" s="87"/>
    </row>
    <row r="74" spans="1:11" x14ac:dyDescent="0.3">
      <c r="A74" s="85" t="s">
        <v>55</v>
      </c>
      <c r="B74" s="85" t="s">
        <v>66</v>
      </c>
      <c r="C74" s="86"/>
      <c r="D74" s="1"/>
      <c r="E74" s="1"/>
      <c r="F74" s="1"/>
      <c r="G74" s="88"/>
      <c r="H74" s="88"/>
      <c r="I74" s="89"/>
      <c r="J74" s="90">
        <f>+I73-J73</f>
        <v>549405068.01680005</v>
      </c>
      <c r="K74" s="89"/>
    </row>
    <row r="75" spans="1:11" x14ac:dyDescent="0.3">
      <c r="A75" s="85" t="s">
        <v>67</v>
      </c>
      <c r="B75" s="85" t="s">
        <v>89</v>
      </c>
      <c r="C75" s="86"/>
      <c r="D75" s="1"/>
      <c r="E75" s="1"/>
      <c r="F75" s="1"/>
      <c r="G75" s="88"/>
      <c r="H75" s="88"/>
      <c r="I75" s="89"/>
      <c r="J75" s="90"/>
      <c r="K75" s="89"/>
    </row>
    <row r="76" spans="1:11" x14ac:dyDescent="0.3">
      <c r="A76" s="85" t="s">
        <v>56</v>
      </c>
      <c r="B76" s="85"/>
      <c r="C76" s="86"/>
      <c r="D76" s="1"/>
      <c r="E76" s="1"/>
      <c r="F76" s="1"/>
      <c r="G76" s="1"/>
      <c r="H76" s="88"/>
      <c r="I76" s="89"/>
      <c r="J76" s="90"/>
      <c r="K76" s="89"/>
    </row>
    <row r="77" spans="1:11" ht="5.25" customHeight="1" thickBot="1" x14ac:dyDescent="0.35">
      <c r="A77" s="98"/>
      <c r="B77" s="98"/>
      <c r="C77" s="99"/>
      <c r="D77" s="99"/>
      <c r="E77" s="99"/>
      <c r="F77" s="99"/>
      <c r="G77" s="99"/>
      <c r="H77" s="100"/>
      <c r="I77" s="101"/>
      <c r="J77" s="102"/>
      <c r="K77" s="101"/>
    </row>
    <row r="78" spans="1:11" ht="39" customHeight="1" thickTop="1" thickBot="1" x14ac:dyDescent="0.35">
      <c r="A78" s="224" t="s">
        <v>121</v>
      </c>
      <c r="B78" s="224"/>
      <c r="C78" s="224"/>
      <c r="D78" s="224"/>
      <c r="E78" s="224"/>
      <c r="F78" s="224"/>
      <c r="G78" s="224"/>
      <c r="H78" s="224"/>
      <c r="I78" s="224"/>
      <c r="J78" s="224"/>
      <c r="K78" s="224"/>
    </row>
    <row r="79" spans="1:11" ht="15" thickTop="1" x14ac:dyDescent="0.3"/>
  </sheetData>
  <mergeCells count="42">
    <mergeCell ref="A40:I40"/>
    <mergeCell ref="A78:K78"/>
    <mergeCell ref="A64:C64"/>
    <mergeCell ref="A65:I65"/>
    <mergeCell ref="A58:H58"/>
    <mergeCell ref="A59:I59"/>
    <mergeCell ref="A60:K60"/>
    <mergeCell ref="A61:J61"/>
    <mergeCell ref="A62:C62"/>
    <mergeCell ref="A48:E48"/>
    <mergeCell ref="A49:D49"/>
    <mergeCell ref="A50:K50"/>
    <mergeCell ref="A51:J51"/>
    <mergeCell ref="A52:J52"/>
    <mergeCell ref="A53:H53"/>
    <mergeCell ref="A54:H54"/>
    <mergeCell ref="A55:H55"/>
    <mergeCell ref="A56:H56"/>
    <mergeCell ref="A57:H57"/>
    <mergeCell ref="A47:E47"/>
    <mergeCell ref="C25:D25"/>
    <mergeCell ref="A26:I26"/>
    <mergeCell ref="A27:K27"/>
    <mergeCell ref="A42:C42"/>
    <mergeCell ref="A43:C43"/>
    <mergeCell ref="A45:I45"/>
    <mergeCell ref="A28:J28"/>
    <mergeCell ref="A29:C29"/>
    <mergeCell ref="A30:C30"/>
    <mergeCell ref="A44:C44"/>
    <mergeCell ref="A35:I35"/>
    <mergeCell ref="A37:C37"/>
    <mergeCell ref="A38:C38"/>
    <mergeCell ref="A11:J11"/>
    <mergeCell ref="A17:J17"/>
    <mergeCell ref="A21:J21"/>
    <mergeCell ref="C1:J1"/>
    <mergeCell ref="B2:J2"/>
    <mergeCell ref="A3:K3"/>
    <mergeCell ref="A8:J8"/>
    <mergeCell ref="C9:C10"/>
    <mergeCell ref="D9:D10"/>
  </mergeCells>
  <printOptions horizontalCentered="1" verticalCentered="1"/>
  <pageMargins left="0.25" right="0.25" top="0.33" bottom="0.28000000000000003" header="0.3" footer="0.3"/>
  <pageSetup scale="45" fitToWidth="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PGIO</vt:lpstr>
      <vt:lpstr>AIU</vt:lpstr>
      <vt:lpstr>AIU!Área_de_impresión</vt:lpstr>
      <vt:lpstr>PGIO!Área_de_impresión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Guerrero Leal</dc:creator>
  <cp:lastModifiedBy>maria isabel lopez martinez</cp:lastModifiedBy>
  <cp:lastPrinted>2020-07-14T20:42:06Z</cp:lastPrinted>
  <dcterms:created xsi:type="dcterms:W3CDTF">2018-05-18T20:20:03Z</dcterms:created>
  <dcterms:modified xsi:type="dcterms:W3CDTF">2020-08-16T19:24:15Z</dcterms:modified>
</cp:coreProperties>
</file>